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8"/>
  <workbookPr filterPrivacy="1" codeName="Questa_cartella_di_lavoro" defaultThemeVersion="124226"/>
  <xr:revisionPtr revIDLastSave="0" documentId="13_ncr:1_{C99885F4-9029-4786-AA3A-97CAECAE2F82}" xr6:coauthVersionLast="36" xr6:coauthVersionMax="36" xr10:uidLastSave="{00000000-0000-0000-0000-000000000000}"/>
  <workbookProtection workbookPassword="A0BC" lockStructure="1"/>
  <bookViews>
    <workbookView xWindow="0" yWindow="0" windowWidth="28800" windowHeight="11685" xr2:uid="{00000000-000D-0000-FFFF-FFFF00000000}"/>
  </bookViews>
  <sheets>
    <sheet name="INPUT" sheetId="9" r:id="rId1"/>
    <sheet name="SCHEDA DI INTERVENTO" sheetId="10" r:id="rId2"/>
    <sheet name="esprortazione" sheetId="11" r:id="rId3"/>
    <sheet name="CCNL-appoggio" sheetId="2" state="hidden" r:id="rId4"/>
    <sheet name="CCNL cooperative" sheetId="6" state="hidden" r:id="rId5"/>
    <sheet name="CCNL EELL" sheetId="7" state="hidden" r:id="rId6"/>
    <sheet name="CCNL EELL 2018" sheetId="12" state="hidden" r:id="rId7"/>
    <sheet name="CCNL cooperative (11-19)" sheetId="13" state="hidden" r:id="rId8"/>
    <sheet name="CCNL cooperative (4-20)" sheetId="14" state="hidden" r:id="rId9"/>
    <sheet name="CCNL cooperative (9-20)" sheetId="15" state="hidden" r:id="rId10"/>
  </sheets>
  <definedNames>
    <definedName name="_xlnm.Print_Area" localSheetId="2">esprortazione!$A$1:$M$5</definedName>
    <definedName name="_xlnm.Print_Area" localSheetId="0">INPUT!$A$1:$Y$149</definedName>
    <definedName name="CCNLCoopCost">'CCNL-appoggio'!$B$2:$B$18</definedName>
    <definedName name="CCNLCoopDes">'CCNL-appoggio'!$A$2:$A$18</definedName>
    <definedName name="CCNLCostoOrarioAltroPersonale2">#REF!</definedName>
    <definedName name="CCNLCostoOrarioAltroPersonale3">#REF!</definedName>
    <definedName name="CCNLCostoOrarioAltroPesonale1" localSheetId="7">#REF!</definedName>
    <definedName name="CCNLCostoOrarioAltroPesonale1">#REF!</definedName>
    <definedName name="CCNLCostoOrarioAltroPesonale2" localSheetId="7">#REF!</definedName>
    <definedName name="CCNLCostoOrarioAltroPesonale2">#REF!</definedName>
    <definedName name="CCNLCostoOrarioAltroPesonale3" localSheetId="7">#REF!</definedName>
    <definedName name="CCNLCostoOrarioAltroPesonale3">#REF!</definedName>
    <definedName name="CCNLCostoOrarioAmministrativo" localSheetId="7">#REF!</definedName>
    <definedName name="CCNLCostoOrarioAmministrativo">#REF!</definedName>
    <definedName name="CCNLCostoOrarioAmministrativo1">#REF!</definedName>
    <definedName name="CCNLCostoOrarioAusiliari" localSheetId="7">#REF!</definedName>
    <definedName name="CCNLCostoOrarioAusiliari">#REF!</definedName>
    <definedName name="CCNLCostoOrarioCoordinatore" localSheetId="7">#REF!</definedName>
    <definedName name="CCNLCostoOrarioCoordinatore">#REF!</definedName>
    <definedName name="CCNLCostoOrarioCuoco" localSheetId="7">#REF!</definedName>
    <definedName name="CCNLCostoOrarioCuoco">#REF!</definedName>
    <definedName name="CCNLCostoOrarioEducatori" localSheetId="7">#REF!</definedName>
    <definedName name="CCNLCostoOrarioEducatori">#REF!</definedName>
    <definedName name="CCNLEELLCostOrd">'CCNL-appoggio'!$G$2:$G$24</definedName>
    <definedName name="CCNLEELLCostStraord">'CCNL-appoggio'!$H$2:$H$24</definedName>
    <definedName name="CCNLEELLDes">'CCNL-appoggio'!$F$2:$F$24</definedName>
    <definedName name="CostoPastoMassimo" localSheetId="7">#REF!</definedName>
    <definedName name="CostoPastoMassimo">#REF!</definedName>
    <definedName name="InfanziaDifferenzaScheda" localSheetId="7">#REF!</definedName>
    <definedName name="InfanziaDifferenzaScheda">#REF!</definedName>
    <definedName name="InfanziaParametroCostoPasto" localSheetId="7">#REF!</definedName>
    <definedName name="InfanziaParametroCostoPasto">#REF!</definedName>
    <definedName name="infanziaParametroPercentualeCoordinamento" localSheetId="7">#REF!</definedName>
    <definedName name="infanziaParametroPercentualeCoordinamento">#REF!</definedName>
    <definedName name="InfanziaParametroPercentualeSpeseGenerali" localSheetId="7">#REF!</definedName>
    <definedName name="InfanziaParametroPercentualeSpeseGenerali">#REF!</definedName>
    <definedName name="InfanziaPercentualeAltroPersonale1" localSheetId="7">#REF!</definedName>
    <definedName name="InfanziaPercentualeAltroPersonale1">#REF!</definedName>
    <definedName name="InfanziaPercentualeAltroPersonale2" localSheetId="7">#REF!</definedName>
    <definedName name="InfanziaPercentualeAltroPersonale2">#REF!</definedName>
    <definedName name="InfanziaPercentualeAltroPersonale3" localSheetId="7">#REF!</definedName>
    <definedName name="InfanziaPercentualeAltroPersonale3">#REF!</definedName>
    <definedName name="InfanziaPercentualeMassimaCoordinamento" localSheetId="7">#REF!</definedName>
    <definedName name="InfanziaPercentualeMassimaCoordinamento">#REF!</definedName>
    <definedName name="InfaziaPercentualeMassimaSpeseGenerali" localSheetId="7">#REF!</definedName>
    <definedName name="InfaziaPercentualeMassimaSpeseGenerali">#REF!</definedName>
    <definedName name="mensilitàAttualiDettaglio">INPUT!#REF!</definedName>
    <definedName name="mensilitàPacDettaglio">INPUT!#REF!</definedName>
    <definedName name="numeroPasti" localSheetId="7">#REF!</definedName>
    <definedName name="numeroPasti">#REF!</definedName>
    <definedName name="oreMassimeServizioOrdinario" localSheetId="7">#REF!</definedName>
    <definedName name="oreMassimeServizioOrdinario">#REF!</definedName>
    <definedName name="oreMassimeServizioSabato" localSheetId="7">#REF!</definedName>
    <definedName name="oreMassimeServizioSabato">#REF!</definedName>
    <definedName name="oreMinimeServizioOrdinario" localSheetId="7">#REF!</definedName>
    <definedName name="oreMinimeServizioOrdinario">#REF!</definedName>
    <definedName name="oreMinimeServizioSabato" localSheetId="7">#REF!</definedName>
    <definedName name="oreMinimeServizioSabato">#REF!</definedName>
    <definedName name="oreServizioPacDettaglio">INPUT!$C$55:$C$101</definedName>
    <definedName name="ParametroGiorniServizioSettimanali" localSheetId="7">#REF!</definedName>
    <definedName name="ParametroGiorniServizioSettimanali">#REF!</definedName>
    <definedName name="ParametroMesiServizio" localSheetId="7">#REF!</definedName>
    <definedName name="ParametroMesiServizio">#REF!</definedName>
    <definedName name="ParametroOreServizioGiornaliero" localSheetId="7">#REF!</definedName>
    <definedName name="ParametroOreServizioGiornaliero">#REF!</definedName>
    <definedName name="ParametroOreServizioGiornalieroSabato" localSheetId="7">#REF!</definedName>
    <definedName name="ParametroOreServizioGiornalieroSabato">#REF!</definedName>
    <definedName name="ParametroOreSettinanaliServizio" localSheetId="7">#REF!</definedName>
    <definedName name="ParametroOreSettinanaliServizio">#REF!</definedName>
    <definedName name="ParametroUtentiComplessivi" localSheetId="7">#REF!</definedName>
    <definedName name="ParametroUtentiComplessivi">#REF!</definedName>
    <definedName name="ParametroUtentiDivezzi" localSheetId="7">#REF!</definedName>
    <definedName name="ParametroUtentiDivezzi">#REF!</definedName>
    <definedName name="ParametroUtentiLattanti" localSheetId="7">#REF!</definedName>
    <definedName name="ParametroUtentiLattanti">#REF!</definedName>
    <definedName name="ParametroUtentiSemidivezzi" localSheetId="7">#REF!</definedName>
    <definedName name="ParametroUtentiSemidivezzi">#REF!</definedName>
    <definedName name="scedaCostoCoordinatore" localSheetId="7">#REF!</definedName>
    <definedName name="scedaCostoCoordinatore">#REF!</definedName>
    <definedName name="schedaCompartecipazione" localSheetId="7">#REF!</definedName>
    <definedName name="schedaCompartecipazione">#REF!</definedName>
    <definedName name="schedaCostaOrarioAmminitrativi" localSheetId="7">#REF!</definedName>
    <definedName name="schedaCostaOrarioAmminitrativi">#REF!</definedName>
    <definedName name="schedaCostiAusiliari" localSheetId="7">#REF!</definedName>
    <definedName name="schedaCostiAusiliari">#REF!</definedName>
    <definedName name="schedaCostiDiretti" localSheetId="7">#REF!</definedName>
    <definedName name="schedaCostiDiretti">#REF!</definedName>
    <definedName name="schedaCostiGenerali" localSheetId="7">#REF!</definedName>
    <definedName name="schedaCostiGenerali">#REF!</definedName>
    <definedName name="SchedaCostoAltroPersonale1" localSheetId="7">#REF!</definedName>
    <definedName name="SchedaCostoAltroPersonale1">#REF!</definedName>
    <definedName name="SchedaCostoAltroPersonale2" localSheetId="7">#REF!</definedName>
    <definedName name="SchedaCostoAltroPersonale2">#REF!</definedName>
    <definedName name="SchedaCostoAltroPersonale3" localSheetId="7">#REF!</definedName>
    <definedName name="SchedaCostoAltroPersonale3">#REF!</definedName>
    <definedName name="schedaCostoCuoco" localSheetId="7">#REF!</definedName>
    <definedName name="schedaCostoCuoco">#REF!</definedName>
    <definedName name="schedaCostoEducatori" localSheetId="7">#REF!</definedName>
    <definedName name="schedaCostoEducatori">#REF!</definedName>
    <definedName name="schedaCostoOrarioAusiliari" localSheetId="7">#REF!</definedName>
    <definedName name="schedaCostoOrarioAusiliari">#REF!</definedName>
    <definedName name="schedaCostoOrarioCoordinatore" localSheetId="7">#REF!</definedName>
    <definedName name="schedaCostoOrarioCoordinatore">#REF!</definedName>
    <definedName name="schedaCostoOrarioEducatori" localSheetId="7">#REF!</definedName>
    <definedName name="schedaCostoOrarioEducatori">#REF!</definedName>
    <definedName name="SchedaCostoPasti" localSheetId="7">#REF!</definedName>
    <definedName name="SchedaCostoPasti">#REF!</definedName>
    <definedName name="SchedaCostoPersonaleAmministrativo" localSheetId="7">#REF!</definedName>
    <definedName name="SchedaCostoPersonaleAmministrativo">#REF!</definedName>
    <definedName name="SchedaGiorniServizioSettimanali" localSheetId="7">#REF!</definedName>
    <definedName name="SchedaGiorniServizioSettimanali">#REF!</definedName>
    <definedName name="SchedaMesiServizio" localSheetId="7">#REF!</definedName>
    <definedName name="SchedaMesiServizio">#REF!</definedName>
    <definedName name="SchedaOreAltroPersonale1" localSheetId="7">#REF!</definedName>
    <definedName name="SchedaOreAltroPersonale1">#REF!</definedName>
    <definedName name="SchedaOreAltroPersonale2" localSheetId="7">#REF!</definedName>
    <definedName name="SchedaOreAltroPersonale2">#REF!</definedName>
    <definedName name="SchedaOreAltroPersonale3" localSheetId="7">#REF!</definedName>
    <definedName name="SchedaOreAltroPersonale3">#REF!</definedName>
    <definedName name="schedaOreComplessiveServizio" localSheetId="7">#REF!</definedName>
    <definedName name="schedaOreComplessiveServizio">#REF!</definedName>
    <definedName name="SchedaOreCoordinamento" localSheetId="7">#REF!</definedName>
    <definedName name="SchedaOreCoordinamento">#REF!</definedName>
    <definedName name="SchedaOrePersonaleAmministrativo" localSheetId="7">#REF!</definedName>
    <definedName name="SchedaOrePersonaleAmministrativo">#REF!</definedName>
    <definedName name="schedaOrePersonaleEducativo" localSheetId="7">#REF!</definedName>
    <definedName name="schedaOrePersonaleEducativo">#REF!</definedName>
    <definedName name="schedaOreServizioGiornaliero" localSheetId="7">#REF!</definedName>
    <definedName name="schedaOreServizioGiornaliero">#REF!</definedName>
    <definedName name="schedaOreServizioGiornalieroSabato" localSheetId="7">#REF!</definedName>
    <definedName name="schedaOreServizioGiornalieroSabato">#REF!</definedName>
    <definedName name="SchedaOreSettinanaliServizio" localSheetId="7">#REF!</definedName>
    <definedName name="SchedaOreSettinanaliServizio">#REF!</definedName>
    <definedName name="SchedaParametroCostoPasto" localSheetId="7">#REF!</definedName>
    <definedName name="SchedaParametroCostoPasto">#REF!</definedName>
    <definedName name="SchedaUtentiComplessivi" localSheetId="7">#REF!</definedName>
    <definedName name="SchedaUtentiComplessivi">#REF!</definedName>
    <definedName name="SchedaUtentiDivezzi" localSheetId="7">#REF!</definedName>
    <definedName name="SchedaUtentiDivezzi">#REF!</definedName>
    <definedName name="SchedaUtentiLattanti" localSheetId="7">#REF!</definedName>
    <definedName name="SchedaUtentiLattanti">#REF!</definedName>
    <definedName name="SchedaUtentiSemidivezzi" localSheetId="7">#REF!</definedName>
    <definedName name="SchedaUtentiSemidivezzi">#REF!</definedName>
    <definedName name="SchedeOreAusiliari" localSheetId="7">#REF!</definedName>
    <definedName name="SchedeOreAusiliari">#REF!</definedName>
    <definedName name="schedeOreEducatori" localSheetId="7">#REF!</definedName>
    <definedName name="schedeOreEducatori">#REF!</definedName>
    <definedName name="struttureInterventiPacDettaglio">INPUT!#REF!</definedName>
    <definedName name="strutturePACdettaglio">INPUT!#REF!</definedName>
    <definedName name="tipologiaInterventoPacDettaglio">INPUT!#REF!</definedName>
    <definedName name="utentiAttualiDettaglio">INPUT!#REF!</definedName>
    <definedName name="utentiPacDettaglio">INPUT!#REF!</definedName>
  </definedNames>
  <calcPr calcId="191029"/>
</workbook>
</file>

<file path=xl/calcChain.xml><?xml version="1.0" encoding="utf-8"?>
<calcChain xmlns="http://schemas.openxmlformats.org/spreadsheetml/2006/main">
  <c r="I27" i="10" l="1"/>
  <c r="I22" i="10"/>
  <c r="F107" i="9"/>
  <c r="E144" i="9" l="1"/>
  <c r="G144" i="9" s="1"/>
  <c r="AJ144" i="9"/>
  <c r="D80" i="9" l="1"/>
  <c r="B2" i="15" l="1"/>
  <c r="B3" i="15" s="1"/>
  <c r="B2" i="14"/>
  <c r="B3" i="14" s="1"/>
  <c r="B2" i="13"/>
  <c r="B3" i="13" s="1"/>
  <c r="N2" i="2"/>
  <c r="C49" i="15"/>
  <c r="C48" i="15"/>
  <c r="E36" i="15"/>
  <c r="R31" i="15"/>
  <c r="Q31" i="15"/>
  <c r="P31" i="15"/>
  <c r="O31" i="15"/>
  <c r="N31" i="15"/>
  <c r="M31" i="15"/>
  <c r="L31" i="15"/>
  <c r="K31" i="15"/>
  <c r="J31" i="15"/>
  <c r="I31" i="15"/>
  <c r="H31" i="15"/>
  <c r="G31" i="15"/>
  <c r="F31" i="15"/>
  <c r="D31" i="15"/>
  <c r="C31" i="15"/>
  <c r="B31" i="15"/>
  <c r="E26" i="15"/>
  <c r="R16" i="15"/>
  <c r="R25" i="15" s="1"/>
  <c r="R26" i="15" s="1"/>
  <c r="Q16" i="15"/>
  <c r="Q25" i="15" s="1"/>
  <c r="Q26" i="15" s="1"/>
  <c r="P16" i="15"/>
  <c r="P17" i="15" s="1"/>
  <c r="O16" i="15"/>
  <c r="O25" i="15" s="1"/>
  <c r="O26" i="15" s="1"/>
  <c r="N16" i="15"/>
  <c r="N17" i="15" s="1"/>
  <c r="N21" i="15" s="1"/>
  <c r="M16" i="15"/>
  <c r="M25" i="15" s="1"/>
  <c r="M26" i="15" s="1"/>
  <c r="L16" i="15"/>
  <c r="L17" i="15" s="1"/>
  <c r="K16" i="15"/>
  <c r="K25" i="15" s="1"/>
  <c r="K26" i="15" s="1"/>
  <c r="J16" i="15"/>
  <c r="J25" i="15" s="1"/>
  <c r="J26" i="15" s="1"/>
  <c r="I16" i="15"/>
  <c r="H16" i="15"/>
  <c r="H17" i="15" s="1"/>
  <c r="G16" i="15"/>
  <c r="F16" i="15"/>
  <c r="F17" i="15" s="1"/>
  <c r="F21" i="15" s="1"/>
  <c r="E16" i="15"/>
  <c r="E17" i="15" s="1"/>
  <c r="D16" i="15"/>
  <c r="D25" i="15" s="1"/>
  <c r="D26" i="15" s="1"/>
  <c r="C16" i="15"/>
  <c r="B16" i="15"/>
  <c r="B25" i="15" s="1"/>
  <c r="B26" i="15" s="1"/>
  <c r="C49" i="14"/>
  <c r="C48" i="14"/>
  <c r="E36" i="14"/>
  <c r="R31" i="14"/>
  <c r="Q31" i="14"/>
  <c r="P31" i="14"/>
  <c r="O31" i="14"/>
  <c r="N31" i="14"/>
  <c r="M31" i="14"/>
  <c r="L31" i="14"/>
  <c r="K31" i="14"/>
  <c r="J31" i="14"/>
  <c r="I31" i="14"/>
  <c r="H31" i="14"/>
  <c r="G31" i="14"/>
  <c r="F31" i="14"/>
  <c r="D31" i="14"/>
  <c r="C31" i="14"/>
  <c r="B31" i="14"/>
  <c r="E26" i="14"/>
  <c r="R16" i="14"/>
  <c r="R25" i="14" s="1"/>
  <c r="R26" i="14" s="1"/>
  <c r="Q16" i="14"/>
  <c r="P16" i="14"/>
  <c r="P25" i="14" s="1"/>
  <c r="P26" i="14" s="1"/>
  <c r="O16" i="14"/>
  <c r="N16" i="14"/>
  <c r="N17" i="14" s="1"/>
  <c r="M16" i="14"/>
  <c r="L16" i="14"/>
  <c r="L25" i="14" s="1"/>
  <c r="L26" i="14" s="1"/>
  <c r="K16" i="14"/>
  <c r="J16" i="14"/>
  <c r="J25" i="14" s="1"/>
  <c r="J26" i="14" s="1"/>
  <c r="I16" i="14"/>
  <c r="H16" i="14"/>
  <c r="H17" i="14" s="1"/>
  <c r="G16" i="14"/>
  <c r="F16" i="14"/>
  <c r="F17" i="14" s="1"/>
  <c r="E16" i="14"/>
  <c r="E17" i="14" s="1"/>
  <c r="D16" i="14"/>
  <c r="D25" i="14" s="1"/>
  <c r="D26" i="14" s="1"/>
  <c r="C16" i="14"/>
  <c r="C17" i="14" s="1"/>
  <c r="C21" i="14" s="1"/>
  <c r="B16" i="14"/>
  <c r="B25" i="14" s="1"/>
  <c r="B26" i="14" s="1"/>
  <c r="C49" i="13"/>
  <c r="C48" i="13"/>
  <c r="E36" i="13"/>
  <c r="R31" i="13"/>
  <c r="Q31" i="13"/>
  <c r="P31" i="13"/>
  <c r="O31" i="13"/>
  <c r="N31" i="13"/>
  <c r="M31" i="13"/>
  <c r="L31" i="13"/>
  <c r="K31" i="13"/>
  <c r="J31" i="13"/>
  <c r="I31" i="13"/>
  <c r="H31" i="13"/>
  <c r="G31" i="13"/>
  <c r="F31" i="13"/>
  <c r="D31" i="13"/>
  <c r="C31" i="13"/>
  <c r="B31" i="13"/>
  <c r="I25" i="13"/>
  <c r="I26" i="13" s="1"/>
  <c r="Q17" i="13"/>
  <c r="I17" i="13"/>
  <c r="E17" i="13"/>
  <c r="R16" i="13"/>
  <c r="R25" i="13" s="1"/>
  <c r="R26" i="13" s="1"/>
  <c r="Q16" i="13"/>
  <c r="Q25" i="13" s="1"/>
  <c r="Q26" i="13" s="1"/>
  <c r="P16" i="13"/>
  <c r="P25" i="13" s="1"/>
  <c r="P26" i="13" s="1"/>
  <c r="O16" i="13"/>
  <c r="O17" i="13" s="1"/>
  <c r="N16" i="13"/>
  <c r="N25" i="13" s="1"/>
  <c r="N26" i="13" s="1"/>
  <c r="M16" i="13"/>
  <c r="M17" i="13" s="1"/>
  <c r="L16" i="13"/>
  <c r="L25" i="13" s="1"/>
  <c r="L26" i="13" s="1"/>
  <c r="K16" i="13"/>
  <c r="K25" i="13" s="1"/>
  <c r="K26" i="13" s="1"/>
  <c r="J16" i="13"/>
  <c r="J25" i="13" s="1"/>
  <c r="J26" i="13" s="1"/>
  <c r="I16" i="13"/>
  <c r="H16" i="13"/>
  <c r="H25" i="13" s="1"/>
  <c r="H26" i="13" s="1"/>
  <c r="G16" i="13"/>
  <c r="G17" i="13" s="1"/>
  <c r="F16" i="13"/>
  <c r="F25" i="13" s="1"/>
  <c r="F26" i="13" s="1"/>
  <c r="E16" i="13"/>
  <c r="D16" i="13"/>
  <c r="D25" i="13" s="1"/>
  <c r="D26" i="13" s="1"/>
  <c r="C16" i="13"/>
  <c r="C25" i="13" s="1"/>
  <c r="C26" i="13" s="1"/>
  <c r="B16" i="13"/>
  <c r="B25" i="13" s="1"/>
  <c r="B26" i="13" s="1"/>
  <c r="B37" i="12"/>
  <c r="B38" i="12" s="1"/>
  <c r="C38" i="12" s="1"/>
  <c r="H28" i="12"/>
  <c r="B28" i="12"/>
  <c r="C28" i="12" s="1"/>
  <c r="H27" i="12"/>
  <c r="B27" i="12"/>
  <c r="C27" i="12" s="1"/>
  <c r="H26" i="12"/>
  <c r="C26" i="12"/>
  <c r="B26" i="12"/>
  <c r="H25" i="12"/>
  <c r="B25" i="12"/>
  <c r="C25" i="12" s="1"/>
  <c r="H24" i="12"/>
  <c r="B24" i="12"/>
  <c r="C24" i="12" s="1"/>
  <c r="H23" i="12"/>
  <c r="B23" i="12"/>
  <c r="C23" i="12" s="1"/>
  <c r="H22" i="12"/>
  <c r="B22" i="12"/>
  <c r="C22" i="12" s="1"/>
  <c r="H21" i="12"/>
  <c r="B21" i="12"/>
  <c r="C21" i="12" s="1"/>
  <c r="H20" i="12"/>
  <c r="B20" i="12"/>
  <c r="C20" i="12" s="1"/>
  <c r="H19" i="12"/>
  <c r="B19" i="12"/>
  <c r="C19" i="12" s="1"/>
  <c r="H18" i="12"/>
  <c r="C18" i="12"/>
  <c r="B18" i="12"/>
  <c r="H17" i="12"/>
  <c r="B17" i="12"/>
  <c r="C17" i="12" s="1"/>
  <c r="H16" i="12"/>
  <c r="B16" i="12"/>
  <c r="C16" i="12" s="1"/>
  <c r="H15" i="12"/>
  <c r="B15" i="12"/>
  <c r="C15" i="12" s="1"/>
  <c r="H14" i="12"/>
  <c r="B14" i="12"/>
  <c r="C14" i="12" s="1"/>
  <c r="H13" i="12"/>
  <c r="B13" i="12"/>
  <c r="C13" i="12" s="1"/>
  <c r="H12" i="12"/>
  <c r="B12" i="12"/>
  <c r="C12" i="12" s="1"/>
  <c r="H11" i="12"/>
  <c r="B11" i="12"/>
  <c r="C11" i="12" s="1"/>
  <c r="H10" i="12"/>
  <c r="B10" i="12"/>
  <c r="C10" i="12" s="1"/>
  <c r="H9" i="12"/>
  <c r="B9" i="12"/>
  <c r="C9" i="12" s="1"/>
  <c r="H8" i="12"/>
  <c r="B8" i="12"/>
  <c r="C8" i="12" s="1"/>
  <c r="H7" i="12"/>
  <c r="B7" i="12"/>
  <c r="C7" i="12" s="1"/>
  <c r="H6" i="12"/>
  <c r="B6" i="12"/>
  <c r="C6" i="12" s="1"/>
  <c r="R17" i="15" l="1"/>
  <c r="R21" i="15" s="1"/>
  <c r="F25" i="14"/>
  <c r="F26" i="14" s="1"/>
  <c r="B17" i="14"/>
  <c r="M25" i="13"/>
  <c r="M26" i="13" s="1"/>
  <c r="N25" i="14"/>
  <c r="N26" i="14" s="1"/>
  <c r="J17" i="14"/>
  <c r="R17" i="14"/>
  <c r="B17" i="15"/>
  <c r="B20" i="15" s="1"/>
  <c r="J17" i="15"/>
  <c r="J21" i="15" s="1"/>
  <c r="P17" i="14"/>
  <c r="L25" i="15"/>
  <c r="L26" i="15" s="1"/>
  <c r="C17" i="13"/>
  <c r="K17" i="13"/>
  <c r="G25" i="13"/>
  <c r="G26" i="13" s="1"/>
  <c r="O25" i="13"/>
  <c r="O26" i="13" s="1"/>
  <c r="D17" i="14"/>
  <c r="D21" i="14" s="1"/>
  <c r="L17" i="14"/>
  <c r="C20" i="14"/>
  <c r="C22" i="14" s="1"/>
  <c r="H25" i="14"/>
  <c r="H26" i="14" s="1"/>
  <c r="D17" i="15"/>
  <c r="F25" i="15"/>
  <c r="F26" i="15" s="1"/>
  <c r="N25" i="15"/>
  <c r="N26" i="15" s="1"/>
  <c r="H25" i="15"/>
  <c r="H26" i="15" s="1"/>
  <c r="P25" i="15"/>
  <c r="P26" i="15" s="1"/>
  <c r="D6" i="12"/>
  <c r="E6" i="12" s="1"/>
  <c r="F6" i="12" s="1"/>
  <c r="G6" i="12" s="1"/>
  <c r="I6" i="12" s="1"/>
  <c r="J6" i="12" s="1"/>
  <c r="D9" i="12"/>
  <c r="E9" i="12" s="1"/>
  <c r="F9" i="12" s="1"/>
  <c r="G9" i="12" s="1"/>
  <c r="I9" i="12" s="1"/>
  <c r="J9" i="12" s="1"/>
  <c r="D11" i="12"/>
  <c r="E11" i="12" s="1"/>
  <c r="F11" i="12" s="1"/>
  <c r="G11" i="12" s="1"/>
  <c r="I11" i="12" s="1"/>
  <c r="J11" i="12" s="1"/>
  <c r="D19" i="12"/>
  <c r="E19" i="12" s="1"/>
  <c r="F19" i="12" s="1"/>
  <c r="G19" i="12" s="1"/>
  <c r="I19" i="12" s="1"/>
  <c r="J19" i="12" s="1"/>
  <c r="K9" i="12"/>
  <c r="M16" i="12"/>
  <c r="D16" i="12"/>
  <c r="D20" i="12"/>
  <c r="M20" i="12" s="1"/>
  <c r="D7" i="12"/>
  <c r="E7" i="12" s="1"/>
  <c r="F7" i="12" s="1"/>
  <c r="G7" i="12" s="1"/>
  <c r="I7" i="12" s="1"/>
  <c r="J7" i="12" s="1"/>
  <c r="D12" i="12"/>
  <c r="E12" i="12" s="1"/>
  <c r="F12" i="12" s="1"/>
  <c r="G12" i="12" s="1"/>
  <c r="I12" i="12" s="1"/>
  <c r="J12" i="12" s="1"/>
  <c r="M9" i="12"/>
  <c r="D8" i="12"/>
  <c r="E8" i="12" s="1"/>
  <c r="F8" i="12" s="1"/>
  <c r="G8" i="12" s="1"/>
  <c r="I8" i="12" s="1"/>
  <c r="J8" i="12" s="1"/>
  <c r="D10" i="12"/>
  <c r="E10" i="12" s="1"/>
  <c r="F10" i="12" s="1"/>
  <c r="G10" i="12" s="1"/>
  <c r="I10" i="12" s="1"/>
  <c r="J10" i="12" s="1"/>
  <c r="D15" i="12"/>
  <c r="E15" i="12" s="1"/>
  <c r="F15" i="12" s="1"/>
  <c r="G15" i="12" s="1"/>
  <c r="I15" i="12" s="1"/>
  <c r="J15" i="12" s="1"/>
  <c r="M6" i="12"/>
  <c r="M7" i="12"/>
  <c r="D17" i="12"/>
  <c r="E17" i="12" s="1"/>
  <c r="F17" i="12" s="1"/>
  <c r="G17" i="12" s="1"/>
  <c r="I17" i="12" s="1"/>
  <c r="J17" i="12" s="1"/>
  <c r="D21" i="12"/>
  <c r="E21" i="12" s="1"/>
  <c r="F21" i="12" s="1"/>
  <c r="G21" i="12" s="1"/>
  <c r="I21" i="12" s="1"/>
  <c r="J21" i="12" s="1"/>
  <c r="D14" i="12"/>
  <c r="M14" i="12" s="1"/>
  <c r="K15" i="12"/>
  <c r="D18" i="12"/>
  <c r="M18" i="12" s="1"/>
  <c r="K19" i="12"/>
  <c r="D13" i="12"/>
  <c r="E13" i="12" s="1"/>
  <c r="F13" i="12" s="1"/>
  <c r="G13" i="12" s="1"/>
  <c r="I13" i="12" s="1"/>
  <c r="J13" i="12" s="1"/>
  <c r="D22" i="12"/>
  <c r="E22" i="12" s="1"/>
  <c r="F22" i="12" s="1"/>
  <c r="G22" i="12" s="1"/>
  <c r="I22" i="12" s="1"/>
  <c r="J22" i="12" s="1"/>
  <c r="D23" i="12"/>
  <c r="E23" i="12" s="1"/>
  <c r="F23" i="12" s="1"/>
  <c r="G23" i="12" s="1"/>
  <c r="I23" i="12" s="1"/>
  <c r="J23" i="12" s="1"/>
  <c r="D24" i="12"/>
  <c r="E24" i="12" s="1"/>
  <c r="F24" i="12" s="1"/>
  <c r="G24" i="12" s="1"/>
  <c r="I24" i="12" s="1"/>
  <c r="J24" i="12" s="1"/>
  <c r="D25" i="12"/>
  <c r="E25" i="12" s="1"/>
  <c r="F25" i="12" s="1"/>
  <c r="G25" i="12" s="1"/>
  <c r="I25" i="12" s="1"/>
  <c r="J25" i="12" s="1"/>
  <c r="D26" i="12"/>
  <c r="E26" i="12" s="1"/>
  <c r="F26" i="12" s="1"/>
  <c r="G26" i="12" s="1"/>
  <c r="I26" i="12" s="1"/>
  <c r="J26" i="12" s="1"/>
  <c r="D27" i="12"/>
  <c r="E27" i="12" s="1"/>
  <c r="F27" i="12" s="1"/>
  <c r="G27" i="12" s="1"/>
  <c r="I27" i="12" s="1"/>
  <c r="J27" i="12" s="1"/>
  <c r="D28" i="12"/>
  <c r="E28" i="12" s="1"/>
  <c r="F28" i="12" s="1"/>
  <c r="G28" i="12" s="1"/>
  <c r="I28" i="12" s="1"/>
  <c r="J28" i="12" s="1"/>
  <c r="B17" i="13"/>
  <c r="F17" i="13"/>
  <c r="J17" i="13"/>
  <c r="N17" i="13"/>
  <c r="R17" i="13"/>
  <c r="C27" i="14"/>
  <c r="G25" i="14"/>
  <c r="G26" i="14" s="1"/>
  <c r="G17" i="14"/>
  <c r="K25" i="14"/>
  <c r="K26" i="14" s="1"/>
  <c r="K17" i="14"/>
  <c r="O25" i="14"/>
  <c r="O26" i="14" s="1"/>
  <c r="O17" i="14"/>
  <c r="B27" i="14"/>
  <c r="B21" i="14"/>
  <c r="B20" i="14"/>
  <c r="J27" i="14"/>
  <c r="R27" i="14"/>
  <c r="J20" i="14"/>
  <c r="R20" i="14"/>
  <c r="J21" i="14"/>
  <c r="R21" i="14"/>
  <c r="M23" i="12"/>
  <c r="M27" i="12"/>
  <c r="G20" i="13"/>
  <c r="K20" i="13"/>
  <c r="O20" i="13"/>
  <c r="G21" i="13"/>
  <c r="K21" i="13"/>
  <c r="O21" i="13"/>
  <c r="G27" i="13"/>
  <c r="K27" i="13"/>
  <c r="O27" i="13"/>
  <c r="D27" i="14"/>
  <c r="L27" i="14"/>
  <c r="L20" i="14"/>
  <c r="L21" i="14"/>
  <c r="L22" i="14" s="1"/>
  <c r="D17" i="13"/>
  <c r="H17" i="13"/>
  <c r="L17" i="13"/>
  <c r="P17" i="13"/>
  <c r="C20" i="13"/>
  <c r="C21" i="13"/>
  <c r="C27" i="13"/>
  <c r="I25" i="14"/>
  <c r="I26" i="14" s="1"/>
  <c r="I17" i="14"/>
  <c r="M25" i="14"/>
  <c r="M26" i="14" s="1"/>
  <c r="M17" i="14"/>
  <c r="Q25" i="14"/>
  <c r="Q26" i="14" s="1"/>
  <c r="Q17" i="14"/>
  <c r="F27" i="14"/>
  <c r="N27" i="14"/>
  <c r="F20" i="14"/>
  <c r="N20" i="14"/>
  <c r="F21" i="14"/>
  <c r="N21" i="14"/>
  <c r="C25" i="14"/>
  <c r="C26" i="14" s="1"/>
  <c r="I20" i="13"/>
  <c r="M20" i="13"/>
  <c r="Q20" i="13"/>
  <c r="I21" i="13"/>
  <c r="I22" i="13" s="1"/>
  <c r="M21" i="13"/>
  <c r="Q21" i="13"/>
  <c r="I27" i="13"/>
  <c r="M27" i="13"/>
  <c r="Q27" i="13"/>
  <c r="H27" i="14"/>
  <c r="P27" i="14"/>
  <c r="H20" i="14"/>
  <c r="P20" i="14"/>
  <c r="H21" i="14"/>
  <c r="P21" i="14"/>
  <c r="C25" i="15"/>
  <c r="C26" i="15" s="1"/>
  <c r="C17" i="15"/>
  <c r="G25" i="15"/>
  <c r="G26" i="15" s="1"/>
  <c r="G17" i="15"/>
  <c r="I25" i="15"/>
  <c r="I26" i="15" s="1"/>
  <c r="I17" i="15"/>
  <c r="K17" i="15"/>
  <c r="O17" i="15"/>
  <c r="F27" i="15"/>
  <c r="J27" i="15"/>
  <c r="N27" i="15"/>
  <c r="R27" i="15"/>
  <c r="H20" i="15"/>
  <c r="L20" i="15"/>
  <c r="P20" i="15"/>
  <c r="H21" i="15"/>
  <c r="L21" i="15"/>
  <c r="P21" i="15"/>
  <c r="M17" i="15"/>
  <c r="Q17" i="15"/>
  <c r="D20" i="15"/>
  <c r="D21" i="15"/>
  <c r="H27" i="15"/>
  <c r="L27" i="15"/>
  <c r="P27" i="15"/>
  <c r="F20" i="15"/>
  <c r="F22" i="15" s="1"/>
  <c r="J20" i="15"/>
  <c r="J22" i="15" s="1"/>
  <c r="J30" i="15" s="1"/>
  <c r="J33" i="15" s="1"/>
  <c r="N20" i="15"/>
  <c r="N22" i="15" s="1"/>
  <c r="N30" i="15" s="1"/>
  <c r="N33" i="15" s="1"/>
  <c r="R20" i="15"/>
  <c r="R22" i="15" s="1"/>
  <c r="D27" i="15"/>
  <c r="Q22" i="13" l="1"/>
  <c r="Q30" i="13" s="1"/>
  <c r="Q33" i="13" s="1"/>
  <c r="I30" i="13"/>
  <c r="I33" i="13" s="1"/>
  <c r="B27" i="15"/>
  <c r="K22" i="13"/>
  <c r="B21" i="15"/>
  <c r="D20" i="14"/>
  <c r="D22" i="14" s="1"/>
  <c r="D30" i="14" s="1"/>
  <c r="D33" i="14" s="1"/>
  <c r="M17" i="12"/>
  <c r="L7" i="12"/>
  <c r="L30" i="14"/>
  <c r="L33" i="14" s="1"/>
  <c r="R30" i="15"/>
  <c r="R33" i="15" s="1"/>
  <c r="P22" i="14"/>
  <c r="P30" i="14" s="1"/>
  <c r="P33" i="14" s="1"/>
  <c r="P35" i="14" s="1"/>
  <c r="M8" i="12"/>
  <c r="M15" i="12"/>
  <c r="L19" i="12"/>
  <c r="H22" i="15"/>
  <c r="H30" i="15" s="1"/>
  <c r="H33" i="15" s="1"/>
  <c r="H36" i="15" s="1"/>
  <c r="H37" i="15" s="1"/>
  <c r="B22" i="15"/>
  <c r="B30" i="15" s="1"/>
  <c r="B33" i="15" s="1"/>
  <c r="H22" i="14"/>
  <c r="H30" i="14" s="1"/>
  <c r="H33" i="14" s="1"/>
  <c r="L21" i="12"/>
  <c r="M12" i="12"/>
  <c r="L12" i="12"/>
  <c r="L20" i="12"/>
  <c r="F30" i="15"/>
  <c r="F33" i="15" s="1"/>
  <c r="F36" i="15" s="1"/>
  <c r="F37" i="15" s="1"/>
  <c r="K30" i="13"/>
  <c r="K33" i="13" s="1"/>
  <c r="K35" i="13" s="1"/>
  <c r="J22" i="14"/>
  <c r="J30" i="14" s="1"/>
  <c r="J33" i="14" s="1"/>
  <c r="J35" i="14" s="1"/>
  <c r="L13" i="12"/>
  <c r="L18" i="12"/>
  <c r="L14" i="12"/>
  <c r="M21" i="12"/>
  <c r="M11" i="12"/>
  <c r="P22" i="15"/>
  <c r="P30" i="15" s="1"/>
  <c r="P33" i="15" s="1"/>
  <c r="P36" i="15" s="1"/>
  <c r="P37" i="15" s="1"/>
  <c r="M13" i="12"/>
  <c r="L15" i="12"/>
  <c r="Q36" i="13"/>
  <c r="Q37" i="13" s="1"/>
  <c r="Q35" i="13"/>
  <c r="R36" i="15"/>
  <c r="R37" i="15" s="1"/>
  <c r="R35" i="15"/>
  <c r="I36" i="13"/>
  <c r="I37" i="13" s="1"/>
  <c r="I35" i="13"/>
  <c r="L35" i="14"/>
  <c r="L36" i="14"/>
  <c r="L37" i="14" s="1"/>
  <c r="J36" i="15"/>
  <c r="J37" i="15" s="1"/>
  <c r="J35" i="15"/>
  <c r="B36" i="15"/>
  <c r="B37" i="15" s="1"/>
  <c r="B35" i="15"/>
  <c r="N36" i="15"/>
  <c r="N37" i="15" s="1"/>
  <c r="N35" i="15"/>
  <c r="H35" i="14"/>
  <c r="H36" i="14"/>
  <c r="H37" i="14" s="1"/>
  <c r="O27" i="15"/>
  <c r="O21" i="15"/>
  <c r="O20" i="15"/>
  <c r="R22" i="14"/>
  <c r="R30" i="14" s="1"/>
  <c r="R33" i="14" s="1"/>
  <c r="K25" i="12"/>
  <c r="M26" i="12"/>
  <c r="Q27" i="15"/>
  <c r="Q21" i="15"/>
  <c r="Q20" i="15"/>
  <c r="L22" i="15"/>
  <c r="L30" i="15" s="1"/>
  <c r="L33" i="15" s="1"/>
  <c r="K27" i="15"/>
  <c r="K21" i="15"/>
  <c r="K20" i="15"/>
  <c r="G27" i="15"/>
  <c r="G21" i="15"/>
  <c r="G20" i="15"/>
  <c r="M22" i="13"/>
  <c r="M30" i="13" s="1"/>
  <c r="M33" i="13" s="1"/>
  <c r="M27" i="14"/>
  <c r="M21" i="14"/>
  <c r="M20" i="14"/>
  <c r="C22" i="13"/>
  <c r="C30" i="13" s="1"/>
  <c r="C33" i="13" s="1"/>
  <c r="H27" i="13"/>
  <c r="H21" i="13"/>
  <c r="H20" i="13"/>
  <c r="O22" i="13"/>
  <c r="O30" i="13" s="1"/>
  <c r="O33" i="13" s="1"/>
  <c r="M24" i="12"/>
  <c r="B22" i="14"/>
  <c r="B30" i="14" s="1"/>
  <c r="B33" i="14" s="1"/>
  <c r="N27" i="13"/>
  <c r="N21" i="13"/>
  <c r="N20" i="13"/>
  <c r="L28" i="12"/>
  <c r="L26" i="12"/>
  <c r="L24" i="12"/>
  <c r="L22" i="12"/>
  <c r="K22" i="12"/>
  <c r="K27" i="12"/>
  <c r="L8" i="12"/>
  <c r="K28" i="12"/>
  <c r="K11" i="12"/>
  <c r="L11" i="12"/>
  <c r="L6" i="12"/>
  <c r="K12" i="12"/>
  <c r="I27" i="15"/>
  <c r="I21" i="15"/>
  <c r="I20" i="15"/>
  <c r="D27" i="13"/>
  <c r="D21" i="13"/>
  <c r="D20" i="13"/>
  <c r="K27" i="14"/>
  <c r="K21" i="14"/>
  <c r="K20" i="14"/>
  <c r="J27" i="13"/>
  <c r="J21" i="13"/>
  <c r="J20" i="13"/>
  <c r="M25" i="12"/>
  <c r="K24" i="12"/>
  <c r="E16" i="12"/>
  <c r="F16" i="12" s="1"/>
  <c r="G16" i="12" s="1"/>
  <c r="I16" i="12" s="1"/>
  <c r="J16" i="12" s="1"/>
  <c r="K16" i="12"/>
  <c r="K10" i="12"/>
  <c r="K8" i="12"/>
  <c r="M27" i="15"/>
  <c r="M21" i="15"/>
  <c r="M20" i="15"/>
  <c r="K23" i="12"/>
  <c r="D22" i="15"/>
  <c r="D30" i="15" s="1"/>
  <c r="D33" i="15" s="1"/>
  <c r="C27" i="15"/>
  <c r="C21" i="15"/>
  <c r="C20" i="15"/>
  <c r="N22" i="14"/>
  <c r="N30" i="14" s="1"/>
  <c r="N33" i="14" s="1"/>
  <c r="Q27" i="14"/>
  <c r="Q21" i="14"/>
  <c r="Q20" i="14"/>
  <c r="I27" i="14"/>
  <c r="I21" i="14"/>
  <c r="I20" i="14"/>
  <c r="P27" i="13"/>
  <c r="P21" i="13"/>
  <c r="P20" i="13"/>
  <c r="G22" i="13"/>
  <c r="G30" i="13" s="1"/>
  <c r="G33" i="13" s="1"/>
  <c r="M28" i="12"/>
  <c r="M22" i="12"/>
  <c r="C30" i="14"/>
  <c r="C33" i="14" s="1"/>
  <c r="F27" i="13"/>
  <c r="F21" i="13"/>
  <c r="F20" i="13"/>
  <c r="L27" i="12"/>
  <c r="L25" i="12"/>
  <c r="L23" i="12"/>
  <c r="K26" i="12"/>
  <c r="E18" i="12"/>
  <c r="F18" i="12" s="1"/>
  <c r="G18" i="12" s="1"/>
  <c r="I18" i="12" s="1"/>
  <c r="J18" i="12" s="1"/>
  <c r="K18" i="12"/>
  <c r="E14" i="12"/>
  <c r="F14" i="12" s="1"/>
  <c r="G14" i="12" s="1"/>
  <c r="I14" i="12" s="1"/>
  <c r="J14" i="12" s="1"/>
  <c r="K14" i="12"/>
  <c r="L17" i="12"/>
  <c r="M10" i="12"/>
  <c r="L10" i="12"/>
  <c r="E20" i="12"/>
  <c r="F20" i="12" s="1"/>
  <c r="G20" i="12" s="1"/>
  <c r="I20" i="12" s="1"/>
  <c r="J20" i="12" s="1"/>
  <c r="K20" i="12"/>
  <c r="L16" i="12"/>
  <c r="K6" i="12"/>
  <c r="M19" i="12"/>
  <c r="L9" i="12"/>
  <c r="K7" i="12"/>
  <c r="K21" i="12"/>
  <c r="F22" i="14"/>
  <c r="F30" i="14" s="1"/>
  <c r="F33" i="14" s="1"/>
  <c r="L27" i="13"/>
  <c r="L21" i="13"/>
  <c r="L20" i="13"/>
  <c r="O27" i="14"/>
  <c r="O21" i="14"/>
  <c r="O20" i="14"/>
  <c r="G27" i="14"/>
  <c r="G21" i="14"/>
  <c r="G20" i="14"/>
  <c r="R27" i="13"/>
  <c r="R21" i="13"/>
  <c r="R20" i="13"/>
  <c r="B27" i="13"/>
  <c r="B21" i="13"/>
  <c r="B20" i="13"/>
  <c r="K17" i="12"/>
  <c r="K13" i="12"/>
  <c r="O22" i="15" l="1"/>
  <c r="J36" i="14"/>
  <c r="J37" i="14" s="1"/>
  <c r="K36" i="13"/>
  <c r="K37" i="13" s="1"/>
  <c r="P22" i="13"/>
  <c r="K22" i="15"/>
  <c r="K30" i="15" s="1"/>
  <c r="K33" i="15" s="1"/>
  <c r="K35" i="15" s="1"/>
  <c r="P36" i="14"/>
  <c r="P37" i="14" s="1"/>
  <c r="P39" i="14" s="1"/>
  <c r="P40" i="14" s="1"/>
  <c r="H35" i="15"/>
  <c r="P35" i="15"/>
  <c r="Q22" i="14"/>
  <c r="Q30" i="14" s="1"/>
  <c r="Q33" i="14" s="1"/>
  <c r="H22" i="13"/>
  <c r="H30" i="13" s="1"/>
  <c r="H33" i="13" s="1"/>
  <c r="G22" i="15"/>
  <c r="G30" i="15" s="1"/>
  <c r="G33" i="15" s="1"/>
  <c r="I22" i="14"/>
  <c r="I30" i="14" s="1"/>
  <c r="I33" i="14" s="1"/>
  <c r="I36" i="14" s="1"/>
  <c r="I37" i="14" s="1"/>
  <c r="O30" i="15"/>
  <c r="O33" i="15" s="1"/>
  <c r="O35" i="15" s="1"/>
  <c r="F35" i="15"/>
  <c r="P30" i="13"/>
  <c r="P33" i="13" s="1"/>
  <c r="P36" i="13" s="1"/>
  <c r="P37" i="13" s="1"/>
  <c r="K36" i="15"/>
  <c r="K37" i="15" s="1"/>
  <c r="Q36" i="14"/>
  <c r="Q37" i="14" s="1"/>
  <c r="Q35" i="14"/>
  <c r="H35" i="13"/>
  <c r="H36" i="13"/>
  <c r="H37" i="13" s="1"/>
  <c r="G36" i="15"/>
  <c r="G37" i="15" s="1"/>
  <c r="G35" i="15"/>
  <c r="O36" i="15"/>
  <c r="O37" i="15" s="1"/>
  <c r="G36" i="13"/>
  <c r="G37" i="13" s="1"/>
  <c r="G35" i="13"/>
  <c r="C22" i="15"/>
  <c r="C30" i="15" s="1"/>
  <c r="C33" i="15" s="1"/>
  <c r="J22" i="13"/>
  <c r="J30" i="13" s="1"/>
  <c r="J33" i="13" s="1"/>
  <c r="K22" i="14"/>
  <c r="K30" i="14" s="1"/>
  <c r="K33" i="14" s="1"/>
  <c r="D22" i="13"/>
  <c r="D30" i="13" s="1"/>
  <c r="D33" i="13" s="1"/>
  <c r="I22" i="15"/>
  <c r="I30" i="15" s="1"/>
  <c r="I33" i="15" s="1"/>
  <c r="N22" i="13"/>
  <c r="N30" i="13" s="1"/>
  <c r="N33" i="13" s="1"/>
  <c r="M22" i="14"/>
  <c r="M30" i="14" s="1"/>
  <c r="M33" i="14" s="1"/>
  <c r="L36" i="15"/>
  <c r="L37" i="15" s="1"/>
  <c r="L35" i="15"/>
  <c r="L39" i="14"/>
  <c r="L40" i="14" s="1"/>
  <c r="L38" i="14"/>
  <c r="J39" i="14"/>
  <c r="J40" i="14" s="1"/>
  <c r="J38" i="14"/>
  <c r="F36" i="14"/>
  <c r="F37" i="14" s="1"/>
  <c r="F35" i="14"/>
  <c r="C36" i="14"/>
  <c r="C37" i="14" s="1"/>
  <c r="C35" i="14"/>
  <c r="D35" i="14"/>
  <c r="D36" i="14"/>
  <c r="D37" i="14" s="1"/>
  <c r="O36" i="13"/>
  <c r="O37" i="13" s="1"/>
  <c r="O35" i="13"/>
  <c r="N39" i="15"/>
  <c r="N40" i="15" s="1"/>
  <c r="N38" i="15"/>
  <c r="H39" i="15"/>
  <c r="H40" i="15" s="1"/>
  <c r="H38" i="15"/>
  <c r="P39" i="15"/>
  <c r="P40" i="15" s="1"/>
  <c r="P38" i="15"/>
  <c r="Q39" i="13"/>
  <c r="Q40" i="13" s="1"/>
  <c r="Q38" i="13"/>
  <c r="B22" i="13"/>
  <c r="B30" i="13" s="1"/>
  <c r="B33" i="13" s="1"/>
  <c r="R22" i="13"/>
  <c r="R30" i="13" s="1"/>
  <c r="R33" i="13" s="1"/>
  <c r="G22" i="14"/>
  <c r="G30" i="14" s="1"/>
  <c r="G33" i="14" s="1"/>
  <c r="O22" i="14"/>
  <c r="O30" i="14" s="1"/>
  <c r="O33" i="14" s="1"/>
  <c r="L22" i="13"/>
  <c r="L30" i="13" s="1"/>
  <c r="L33" i="13" s="1"/>
  <c r="F22" i="13"/>
  <c r="F30" i="13" s="1"/>
  <c r="F33" i="13" s="1"/>
  <c r="N35" i="14"/>
  <c r="N36" i="14"/>
  <c r="N37" i="14" s="1"/>
  <c r="M22" i="15"/>
  <c r="M30" i="15" s="1"/>
  <c r="M33" i="15" s="1"/>
  <c r="C36" i="13"/>
  <c r="C37" i="13" s="1"/>
  <c r="C35" i="13"/>
  <c r="Q22" i="15"/>
  <c r="Q30" i="15" s="1"/>
  <c r="Q33" i="15" s="1"/>
  <c r="H39" i="14"/>
  <c r="H40" i="14" s="1"/>
  <c r="H38" i="14"/>
  <c r="D36" i="15"/>
  <c r="D37" i="15" s="1"/>
  <c r="D35" i="15"/>
  <c r="B35" i="14"/>
  <c r="B36" i="14"/>
  <c r="B37" i="14" s="1"/>
  <c r="M36" i="13"/>
  <c r="M37" i="13" s="1"/>
  <c r="M35" i="13"/>
  <c r="R35" i="14"/>
  <c r="R36" i="14"/>
  <c r="R37" i="14" s="1"/>
  <c r="B39" i="15"/>
  <c r="B40" i="15" s="1"/>
  <c r="B38" i="15"/>
  <c r="J39" i="15"/>
  <c r="J40" i="15" s="1"/>
  <c r="J38" i="15"/>
  <c r="I39" i="13"/>
  <c r="I40" i="13" s="1"/>
  <c r="I38" i="13"/>
  <c r="R39" i="15"/>
  <c r="R40" i="15" s="1"/>
  <c r="R38" i="15"/>
  <c r="K39" i="13"/>
  <c r="K40" i="13" s="1"/>
  <c r="K38" i="13"/>
  <c r="F39" i="15"/>
  <c r="F38" i="15"/>
  <c r="P38" i="14" l="1"/>
  <c r="F40" i="15"/>
  <c r="P35" i="13"/>
  <c r="I35" i="14"/>
  <c r="M35" i="15"/>
  <c r="M36" i="15"/>
  <c r="M37" i="15" s="1"/>
  <c r="B36" i="13"/>
  <c r="B37" i="13" s="1"/>
  <c r="B35" i="13"/>
  <c r="D36" i="13"/>
  <c r="D37" i="13" s="1"/>
  <c r="D35" i="13"/>
  <c r="Q35" i="15"/>
  <c r="Q36" i="15"/>
  <c r="Q37" i="15" s="1"/>
  <c r="N39" i="14"/>
  <c r="N40" i="14" s="1"/>
  <c r="N38" i="14"/>
  <c r="O36" i="14"/>
  <c r="O37" i="14" s="1"/>
  <c r="O35" i="14"/>
  <c r="M36" i="14"/>
  <c r="M37" i="14" s="1"/>
  <c r="M35" i="14"/>
  <c r="K36" i="14"/>
  <c r="K37" i="14" s="1"/>
  <c r="K35" i="14"/>
  <c r="G39" i="13"/>
  <c r="G40" i="13" s="1"/>
  <c r="G38" i="13"/>
  <c r="I39" i="14"/>
  <c r="I40" i="14" s="1"/>
  <c r="I38" i="14"/>
  <c r="K39" i="15"/>
  <c r="K40" i="15" s="1"/>
  <c r="K38" i="15"/>
  <c r="M39" i="13"/>
  <c r="M40" i="13" s="1"/>
  <c r="M38" i="13"/>
  <c r="D39" i="15"/>
  <c r="D40" i="15" s="1"/>
  <c r="D38" i="15"/>
  <c r="G36" i="14"/>
  <c r="G37" i="14" s="1"/>
  <c r="G35" i="14"/>
  <c r="O39" i="13"/>
  <c r="O40" i="13" s="1"/>
  <c r="O38" i="13"/>
  <c r="C39" i="14"/>
  <c r="C40" i="14" s="1"/>
  <c r="C38" i="14"/>
  <c r="N36" i="13"/>
  <c r="N37" i="13" s="1"/>
  <c r="N35" i="13"/>
  <c r="J35" i="13"/>
  <c r="J36" i="13"/>
  <c r="J37" i="13" s="1"/>
  <c r="P39" i="13"/>
  <c r="P40" i="13" s="1"/>
  <c r="P38" i="13"/>
  <c r="L35" i="13"/>
  <c r="L36" i="13"/>
  <c r="L37" i="13" s="1"/>
  <c r="F39" i="14"/>
  <c r="F40" i="14" s="1"/>
  <c r="F38" i="14"/>
  <c r="L39" i="15"/>
  <c r="L40" i="15" s="1"/>
  <c r="L38" i="15"/>
  <c r="H39" i="13"/>
  <c r="H40" i="13" s="1"/>
  <c r="H38" i="13"/>
  <c r="R39" i="14"/>
  <c r="R40" i="14" s="1"/>
  <c r="R38" i="14"/>
  <c r="B39" i="14"/>
  <c r="B40" i="14" s="1"/>
  <c r="B38" i="14"/>
  <c r="C39" i="13"/>
  <c r="C40" i="13" s="1"/>
  <c r="C38" i="13"/>
  <c r="F36" i="13"/>
  <c r="F37" i="13" s="1"/>
  <c r="F35" i="13"/>
  <c r="R36" i="13"/>
  <c r="R37" i="13" s="1"/>
  <c r="R35" i="13"/>
  <c r="D39" i="14"/>
  <c r="D40" i="14" s="1"/>
  <c r="D38" i="14"/>
  <c r="I35" i="15"/>
  <c r="I36" i="15"/>
  <c r="I37" i="15" s="1"/>
  <c r="C36" i="15"/>
  <c r="C37" i="15" s="1"/>
  <c r="C35" i="15"/>
  <c r="O39" i="15"/>
  <c r="O40" i="15" s="1"/>
  <c r="O38" i="15"/>
  <c r="G39" i="15"/>
  <c r="G40" i="15" s="1"/>
  <c r="G38" i="15"/>
  <c r="Q39" i="14"/>
  <c r="Q40" i="14" s="1"/>
  <c r="Q38" i="14"/>
  <c r="I39" i="15" l="1"/>
  <c r="I40" i="15" s="1"/>
  <c r="I38" i="15"/>
  <c r="L39" i="13"/>
  <c r="L40" i="13" s="1"/>
  <c r="L38" i="13"/>
  <c r="Q39" i="15"/>
  <c r="Q40" i="15" s="1"/>
  <c r="Q38" i="15"/>
  <c r="R39" i="13"/>
  <c r="R40" i="13" s="1"/>
  <c r="R38" i="13"/>
  <c r="M39" i="15"/>
  <c r="M40" i="15" s="1"/>
  <c r="M38" i="15"/>
  <c r="J39" i="13"/>
  <c r="J40" i="13" s="1"/>
  <c r="J38" i="13"/>
  <c r="G39" i="14"/>
  <c r="G40" i="14" s="1"/>
  <c r="G38" i="14"/>
  <c r="K39" i="14"/>
  <c r="K40" i="14" s="1"/>
  <c r="K38" i="14"/>
  <c r="O39" i="14"/>
  <c r="O40" i="14" s="1"/>
  <c r="O38" i="14"/>
  <c r="B39" i="13"/>
  <c r="B40" i="13" s="1"/>
  <c r="B38" i="13"/>
  <c r="C39" i="15"/>
  <c r="C40" i="15" s="1"/>
  <c r="V6" i="2" s="1" a="1"/>
  <c r="C38" i="15"/>
  <c r="F39" i="13"/>
  <c r="F40" i="13" s="1"/>
  <c r="F38" i="13"/>
  <c r="N39" i="13"/>
  <c r="N40" i="13" s="1"/>
  <c r="N38" i="13"/>
  <c r="M39" i="14"/>
  <c r="M40" i="14" s="1"/>
  <c r="M38" i="14"/>
  <c r="D39" i="13"/>
  <c r="D40" i="13" s="1"/>
  <c r="D38" i="13"/>
  <c r="U6" i="2" l="1" a="1"/>
  <c r="U19" i="2" s="1"/>
  <c r="T6" i="2" a="1"/>
  <c r="V17" i="2"/>
  <c r="V20" i="2"/>
  <c r="V16" i="2"/>
  <c r="V12" i="2"/>
  <c r="V8" i="2"/>
  <c r="V19" i="2"/>
  <c r="V15" i="2"/>
  <c r="V11" i="2"/>
  <c r="V7" i="2"/>
  <c r="V22" i="2"/>
  <c r="V18" i="2"/>
  <c r="V14" i="2"/>
  <c r="V10" i="2"/>
  <c r="V6" i="2"/>
  <c r="V21" i="2"/>
  <c r="V13" i="2"/>
  <c r="V9" i="2"/>
  <c r="U12" i="2" l="1"/>
  <c r="U10" i="2"/>
  <c r="U16" i="2"/>
  <c r="U14" i="2"/>
  <c r="U13" i="2"/>
  <c r="U7" i="2"/>
  <c r="U17" i="2"/>
  <c r="U11" i="2"/>
  <c r="U20" i="2"/>
  <c r="U21" i="2"/>
  <c r="U18" i="2"/>
  <c r="U15" i="2"/>
  <c r="U8" i="2"/>
  <c r="U9" i="2"/>
  <c r="U6" i="2"/>
  <c r="U22" i="2"/>
  <c r="T21" i="2"/>
  <c r="T17" i="2"/>
  <c r="T13" i="2"/>
  <c r="T9" i="2"/>
  <c r="T20" i="2"/>
  <c r="T16" i="2"/>
  <c r="T12" i="2"/>
  <c r="T8" i="2"/>
  <c r="T19" i="2"/>
  <c r="T15" i="2"/>
  <c r="T11" i="2"/>
  <c r="T7" i="2"/>
  <c r="T22" i="2"/>
  <c r="T18" i="2"/>
  <c r="T14" i="2"/>
  <c r="T10" i="2"/>
  <c r="T6" i="2"/>
  <c r="B70" i="9" l="1"/>
  <c r="E142" i="9" s="1"/>
  <c r="G142" i="9" s="1"/>
  <c r="AG98" i="9"/>
  <c r="AG24" i="9"/>
  <c r="AG23" i="9"/>
  <c r="AG22" i="9"/>
  <c r="AG21" i="9"/>
  <c r="AG20" i="9"/>
  <c r="AG19" i="9"/>
  <c r="AG18" i="9"/>
  <c r="AG17" i="9"/>
  <c r="L19" i="2"/>
  <c r="L20" i="2"/>
  <c r="L21" i="2"/>
  <c r="L22" i="2"/>
  <c r="L23" i="2"/>
  <c r="L24" i="2"/>
  <c r="AJ146" i="9"/>
  <c r="AJ145" i="9"/>
  <c r="AJ143" i="9"/>
  <c r="AJ142" i="9"/>
  <c r="D35" i="9"/>
  <c r="B41" i="9"/>
  <c r="B17" i="10"/>
  <c r="E24" i="10"/>
  <c r="A3" i="10"/>
  <c r="C3" i="11" s="1"/>
  <c r="A4" i="10"/>
  <c r="M92" i="10"/>
  <c r="M87" i="10"/>
  <c r="E90" i="10" s="1"/>
  <c r="AV90" i="10" s="1"/>
  <c r="B175" i="9"/>
  <c r="A175" i="9" s="1"/>
  <c r="B176" i="9"/>
  <c r="B177" i="9"/>
  <c r="A177" i="9" s="1"/>
  <c r="B174" i="9"/>
  <c r="A174" i="9" s="1"/>
  <c r="E49" i="10"/>
  <c r="AV49" i="10" s="1"/>
  <c r="E47" i="10"/>
  <c r="AV47" i="10" s="1"/>
  <c r="E45" i="10"/>
  <c r="AV45" i="10" s="1"/>
  <c r="E22" i="10"/>
  <c r="E31" i="10"/>
  <c r="E27" i="10"/>
  <c r="H148" i="9"/>
  <c r="L66" i="10" s="1"/>
  <c r="L71" i="10"/>
  <c r="L72" i="10"/>
  <c r="L73" i="10"/>
  <c r="L74" i="10"/>
  <c r="E43" i="10"/>
  <c r="AV43" i="10" s="1"/>
  <c r="E41" i="10"/>
  <c r="AV41" i="10" s="1"/>
  <c r="E39" i="10"/>
  <c r="AV39" i="10" s="1"/>
  <c r="E37" i="10"/>
  <c r="AV37" i="10" s="1"/>
  <c r="E16" i="10"/>
  <c r="AV16" i="10" s="1"/>
  <c r="E7" i="10"/>
  <c r="AV7" i="10" s="1"/>
  <c r="E8" i="10"/>
  <c r="AV8" i="10" s="1"/>
  <c r="E9" i="10"/>
  <c r="AV9" i="10" s="1"/>
  <c r="E10" i="10"/>
  <c r="AV10" i="10" s="1"/>
  <c r="E11" i="10"/>
  <c r="AV11" i="10" s="1"/>
  <c r="E6" i="10"/>
  <c r="AV6" i="10" s="1"/>
  <c r="D83" i="9"/>
  <c r="C175" i="9"/>
  <c r="C177" i="9"/>
  <c r="C176" i="9"/>
  <c r="C174" i="9"/>
  <c r="B171" i="9"/>
  <c r="B172" i="9"/>
  <c r="B173" i="9"/>
  <c r="C171" i="9"/>
  <c r="C172" i="9"/>
  <c r="C173" i="9"/>
  <c r="C170" i="9"/>
  <c r="B170" i="9"/>
  <c r="A170" i="9" s="1"/>
  <c r="C214" i="9"/>
  <c r="C209" i="9"/>
  <c r="C205" i="9"/>
  <c r="I47" i="9"/>
  <c r="E29" i="10" s="1"/>
  <c r="D79" i="9"/>
  <c r="C139" i="9"/>
  <c r="D139" i="9" s="1"/>
  <c r="C138" i="9"/>
  <c r="D138" i="9" s="1"/>
  <c r="D74" i="9"/>
  <c r="B62" i="9"/>
  <c r="B67" i="9"/>
  <c r="H206" i="9"/>
  <c r="H207" i="9"/>
  <c r="H208" i="9"/>
  <c r="H210" i="9"/>
  <c r="H211" i="9"/>
  <c r="H212" i="9"/>
  <c r="H213" i="9"/>
  <c r="H216" i="9"/>
  <c r="H217" i="9"/>
  <c r="H219" i="9"/>
  <c r="H204" i="9"/>
  <c r="C55" i="9"/>
  <c r="E33" i="10" s="1"/>
  <c r="C219" i="9"/>
  <c r="C216" i="9"/>
  <c r="C215" i="9"/>
  <c r="C212" i="9"/>
  <c r="C211" i="9"/>
  <c r="C210" i="9"/>
  <c r="C207" i="9"/>
  <c r="C206" i="9"/>
  <c r="C218" i="9"/>
  <c r="C217" i="9"/>
  <c r="C213" i="9"/>
  <c r="C208" i="9"/>
  <c r="C204" i="9"/>
  <c r="D214" i="9"/>
  <c r="D217" i="9"/>
  <c r="D213" i="9"/>
  <c r="D208" i="9"/>
  <c r="D204" i="9"/>
  <c r="B217" i="9"/>
  <c r="B218" i="9" s="1"/>
  <c r="B219" i="9" s="1"/>
  <c r="B213" i="9"/>
  <c r="B214" i="9" s="1"/>
  <c r="B208" i="9"/>
  <c r="B209" i="9" s="1"/>
  <c r="B210" i="9" s="1"/>
  <c r="B204" i="9"/>
  <c r="B205" i="9" s="1"/>
  <c r="B206" i="9" s="1"/>
  <c r="C48" i="6"/>
  <c r="C47" i="6"/>
  <c r="E143" i="9"/>
  <c r="G143" i="9" s="1"/>
  <c r="B66" i="10"/>
  <c r="E18" i="10"/>
  <c r="AV18" i="10" s="1"/>
  <c r="E146" i="9"/>
  <c r="G146" i="9" s="1"/>
  <c r="K3" i="2"/>
  <c r="K4" i="2"/>
  <c r="K5" i="2"/>
  <c r="K6" i="2"/>
  <c r="K7" i="2"/>
  <c r="K8" i="2"/>
  <c r="K9" i="2"/>
  <c r="K10" i="2"/>
  <c r="K11" i="2"/>
  <c r="K12" i="2"/>
  <c r="K13" i="2"/>
  <c r="K14" i="2"/>
  <c r="K15" i="2"/>
  <c r="K16" i="2"/>
  <c r="K17" i="2"/>
  <c r="K18" i="2"/>
  <c r="K19" i="2"/>
  <c r="K20" i="2"/>
  <c r="K21" i="2"/>
  <c r="K22" i="2"/>
  <c r="K23" i="2"/>
  <c r="K24" i="2"/>
  <c r="K2" i="2"/>
  <c r="C141" i="9"/>
  <c r="D141" i="9" s="1"/>
  <c r="C140" i="9"/>
  <c r="D140" i="9" s="1"/>
  <c r="C137" i="9"/>
  <c r="D137" i="9" s="1"/>
  <c r="C136" i="9"/>
  <c r="D136" i="9" s="1"/>
  <c r="B2" i="6"/>
  <c r="B3" i="6" s="1"/>
  <c r="H28" i="7"/>
  <c r="C28" i="7"/>
  <c r="D28" i="7" s="1"/>
  <c r="E28" i="7" s="1"/>
  <c r="F28" i="7" s="1"/>
  <c r="G28" i="7" s="1"/>
  <c r="I28" i="7" s="1"/>
  <c r="J28" i="7" s="1"/>
  <c r="H27" i="7"/>
  <c r="C27" i="7"/>
  <c r="K27" i="7" s="1"/>
  <c r="H26" i="7"/>
  <c r="C26" i="7"/>
  <c r="M26" i="7" s="1"/>
  <c r="H25" i="7"/>
  <c r="C25" i="7"/>
  <c r="H24" i="7"/>
  <c r="C24" i="7"/>
  <c r="D24" i="7" s="1"/>
  <c r="E24" i="7" s="1"/>
  <c r="F24" i="7" s="1"/>
  <c r="G24" i="7" s="1"/>
  <c r="I24" i="7" s="1"/>
  <c r="J24" i="7" s="1"/>
  <c r="H23" i="7"/>
  <c r="C23" i="7"/>
  <c r="D23" i="7" s="1"/>
  <c r="H22" i="7"/>
  <c r="C22" i="7"/>
  <c r="D22" i="7" s="1"/>
  <c r="E22" i="7" s="1"/>
  <c r="F22" i="7" s="1"/>
  <c r="G22" i="7" s="1"/>
  <c r="I22" i="7" s="1"/>
  <c r="J22" i="7" s="1"/>
  <c r="H21" i="7"/>
  <c r="C21" i="7"/>
  <c r="H20" i="7"/>
  <c r="C20" i="7"/>
  <c r="L20" i="7" s="1"/>
  <c r="H19" i="7"/>
  <c r="C19" i="7"/>
  <c r="H18" i="7"/>
  <c r="C18" i="7"/>
  <c r="D18" i="7" s="1"/>
  <c r="E18" i="7" s="1"/>
  <c r="F18" i="7" s="1"/>
  <c r="G18" i="7" s="1"/>
  <c r="I18" i="7" s="1"/>
  <c r="J18" i="7" s="1"/>
  <c r="H17" i="7"/>
  <c r="C17" i="7"/>
  <c r="M17" i="7" s="1"/>
  <c r="D17" i="7"/>
  <c r="E17" i="7" s="1"/>
  <c r="F17" i="7" s="1"/>
  <c r="G17" i="7" s="1"/>
  <c r="H16" i="7"/>
  <c r="C16" i="7"/>
  <c r="L16" i="7" s="1"/>
  <c r="H15" i="7"/>
  <c r="C15" i="7"/>
  <c r="M15" i="7" s="1"/>
  <c r="H14" i="7"/>
  <c r="C14" i="7"/>
  <c r="D14" i="7" s="1"/>
  <c r="E14" i="7" s="1"/>
  <c r="F14" i="7" s="1"/>
  <c r="G14" i="7" s="1"/>
  <c r="H13" i="7"/>
  <c r="C13" i="7"/>
  <c r="M13" i="7" s="1"/>
  <c r="H12" i="7"/>
  <c r="C12" i="7"/>
  <c r="D12" i="7" s="1"/>
  <c r="E12" i="7" s="1"/>
  <c r="F12" i="7" s="1"/>
  <c r="G12" i="7" s="1"/>
  <c r="I12" i="7" s="1"/>
  <c r="J12" i="7" s="1"/>
  <c r="M12" i="7"/>
  <c r="H11" i="7"/>
  <c r="C11" i="7"/>
  <c r="D11" i="7" s="1"/>
  <c r="E11" i="7" s="1"/>
  <c r="F11" i="7" s="1"/>
  <c r="G11" i="7" s="1"/>
  <c r="I11" i="7" s="1"/>
  <c r="J11" i="7" s="1"/>
  <c r="H10" i="7"/>
  <c r="C10" i="7"/>
  <c r="D10" i="7" s="1"/>
  <c r="E10" i="7" s="1"/>
  <c r="F10" i="7" s="1"/>
  <c r="G10" i="7" s="1"/>
  <c r="H9" i="7"/>
  <c r="C9" i="7"/>
  <c r="K9" i="7" s="1"/>
  <c r="H8" i="7"/>
  <c r="C8" i="7"/>
  <c r="H7" i="7"/>
  <c r="C7" i="7"/>
  <c r="K7" i="7" s="1"/>
  <c r="C6" i="7"/>
  <c r="M6" i="7" s="1"/>
  <c r="H6" i="7"/>
  <c r="R30" i="6"/>
  <c r="Q30" i="6"/>
  <c r="P30" i="6"/>
  <c r="O30" i="6"/>
  <c r="N30" i="6"/>
  <c r="M30" i="6"/>
  <c r="L30" i="6"/>
  <c r="K30" i="6"/>
  <c r="J30" i="6"/>
  <c r="I30" i="6"/>
  <c r="H30" i="6"/>
  <c r="G30" i="6"/>
  <c r="F30" i="6"/>
  <c r="E30" i="6"/>
  <c r="D30" i="6"/>
  <c r="C30" i="6"/>
  <c r="B30" i="6"/>
  <c r="R16" i="6"/>
  <c r="R17" i="6" s="1"/>
  <c r="R26" i="6" s="1"/>
  <c r="Q16" i="6"/>
  <c r="P16" i="6"/>
  <c r="P17" i="6" s="1"/>
  <c r="O16" i="6"/>
  <c r="O24" i="6" s="1"/>
  <c r="O25" i="6" s="1"/>
  <c r="N16" i="6"/>
  <c r="N17" i="6" s="1"/>
  <c r="M16" i="6"/>
  <c r="M17" i="6" s="1"/>
  <c r="M20" i="6" s="1"/>
  <c r="L16" i="6"/>
  <c r="L17" i="6" s="1"/>
  <c r="K16" i="6"/>
  <c r="K17" i="6" s="1"/>
  <c r="J16" i="6"/>
  <c r="J24" i="6" s="1"/>
  <c r="J25" i="6" s="1"/>
  <c r="I16" i="6"/>
  <c r="H16" i="6"/>
  <c r="G16" i="6"/>
  <c r="G17" i="6" s="1"/>
  <c r="G24" i="6"/>
  <c r="G25" i="6" s="1"/>
  <c r="F16" i="6"/>
  <c r="E16" i="6"/>
  <c r="E17" i="6" s="1"/>
  <c r="D16" i="6"/>
  <c r="D24" i="6" s="1"/>
  <c r="D25" i="6" s="1"/>
  <c r="C16" i="6"/>
  <c r="C24" i="6" s="1"/>
  <c r="C25" i="6" s="1"/>
  <c r="B16" i="6"/>
  <c r="L10" i="7"/>
  <c r="P24" i="6"/>
  <c r="P25" i="6" s="1"/>
  <c r="L19" i="7"/>
  <c r="K10" i="7"/>
  <c r="L25" i="7"/>
  <c r="M10" i="7"/>
  <c r="K13" i="7"/>
  <c r="K17" i="7"/>
  <c r="L13" i="7"/>
  <c r="L15" i="7"/>
  <c r="L17" i="7"/>
  <c r="E24" i="6"/>
  <c r="E25" i="6" s="1"/>
  <c r="L24" i="6"/>
  <c r="L25" i="6" s="1"/>
  <c r="M27" i="7"/>
  <c r="D27" i="7"/>
  <c r="E27" i="7" s="1"/>
  <c r="F27" i="7" s="1"/>
  <c r="G27" i="7" s="1"/>
  <c r="I27" i="7" s="1"/>
  <c r="J27" i="7" s="1"/>
  <c r="K16" i="7"/>
  <c r="L12" i="7"/>
  <c r="L27" i="7"/>
  <c r="M16" i="7"/>
  <c r="L6" i="7"/>
  <c r="K12" i="7"/>
  <c r="K21" i="7"/>
  <c r="L21" i="7"/>
  <c r="E23" i="7"/>
  <c r="F23" i="7" s="1"/>
  <c r="G23" i="7" s="1"/>
  <c r="I23" i="7" s="1"/>
  <c r="J23" i="7" s="1"/>
  <c r="M23" i="7"/>
  <c r="D25" i="7"/>
  <c r="E25" i="7" s="1"/>
  <c r="F25" i="7" s="1"/>
  <c r="G25" i="7" s="1"/>
  <c r="I25" i="7" s="1"/>
  <c r="J25" i="7" s="1"/>
  <c r="K25" i="7"/>
  <c r="M25" i="7"/>
  <c r="L23" i="7"/>
  <c r="M19" i="7"/>
  <c r="K19" i="7"/>
  <c r="D19" i="7"/>
  <c r="E19" i="7" s="1"/>
  <c r="F19" i="7" s="1"/>
  <c r="G19" i="7" s="1"/>
  <c r="I19" i="7" s="1"/>
  <c r="J19" i="7" s="1"/>
  <c r="R24" i="6"/>
  <c r="R25" i="6" s="1"/>
  <c r="H24" i="6"/>
  <c r="H25" i="6" s="1"/>
  <c r="H17" i="6"/>
  <c r="H26" i="6" s="1"/>
  <c r="L9" i="7"/>
  <c r="M21" i="7"/>
  <c r="D21" i="7"/>
  <c r="E21" i="7" s="1"/>
  <c r="F21" i="7" s="1"/>
  <c r="G21" i="7" s="1"/>
  <c r="B17" i="6"/>
  <c r="B21" i="6" s="1"/>
  <c r="B24" i="6"/>
  <c r="B25" i="6" s="1"/>
  <c r="H20" i="6"/>
  <c r="M26" i="6"/>
  <c r="R20" i="6"/>
  <c r="R21" i="6"/>
  <c r="M8" i="7"/>
  <c r="K8" i="7"/>
  <c r="L8" i="7"/>
  <c r="D9" i="7"/>
  <c r="E9" i="7"/>
  <c r="F9" i="7" s="1"/>
  <c r="G9" i="7" s="1"/>
  <c r="I9" i="7" s="1"/>
  <c r="J9" i="7" s="1"/>
  <c r="D8" i="7"/>
  <c r="E8" i="7" s="1"/>
  <c r="F8" i="7" s="1"/>
  <c r="G8" i="7" s="1"/>
  <c r="I24" i="6"/>
  <c r="I25" i="6" s="1"/>
  <c r="I17" i="6"/>
  <c r="I20" i="6" s="1"/>
  <c r="A176" i="9"/>
  <c r="B3" i="11" l="1"/>
  <c r="D7" i="7"/>
  <c r="E7" i="7" s="1"/>
  <c r="F7" i="7" s="1"/>
  <c r="G7" i="7" s="1"/>
  <c r="I7" i="7" s="1"/>
  <c r="J7" i="7" s="1"/>
  <c r="B26" i="6"/>
  <c r="M22" i="7"/>
  <c r="I21" i="7"/>
  <c r="J21" i="7" s="1"/>
  <c r="M18" i="7"/>
  <c r="I17" i="7"/>
  <c r="J17" i="7" s="1"/>
  <c r="M7" i="7"/>
  <c r="O17" i="6"/>
  <c r="B20" i="6"/>
  <c r="I14" i="7"/>
  <c r="J14" i="7" s="1"/>
  <c r="G20" i="6"/>
  <c r="G26" i="6"/>
  <c r="K20" i="6"/>
  <c r="K26" i="6"/>
  <c r="P20" i="6"/>
  <c r="P21" i="6"/>
  <c r="P22" i="6" s="1"/>
  <c r="I8" i="7"/>
  <c r="J8" i="7" s="1"/>
  <c r="L18" i="7"/>
  <c r="L22" i="7"/>
  <c r="K6" i="7"/>
  <c r="I21" i="6"/>
  <c r="I22" i="6" s="1"/>
  <c r="M9" i="7"/>
  <c r="L7" i="7"/>
  <c r="J17" i="6"/>
  <c r="J20" i="6" s="1"/>
  <c r="B22" i="6"/>
  <c r="K22" i="7"/>
  <c r="D20" i="7"/>
  <c r="E20" i="7" s="1"/>
  <c r="F20" i="7" s="1"/>
  <c r="G20" i="7" s="1"/>
  <c r="D6" i="7"/>
  <c r="E6" i="7" s="1"/>
  <c r="F6" i="7" s="1"/>
  <c r="G6" i="7" s="1"/>
  <c r="I6" i="7" s="1"/>
  <c r="J6" i="7" s="1"/>
  <c r="K18" i="7"/>
  <c r="K24" i="6"/>
  <c r="K25" i="6" s="1"/>
  <c r="K20" i="7"/>
  <c r="N24" i="6"/>
  <c r="N25" i="6" s="1"/>
  <c r="M24" i="7"/>
  <c r="I26" i="6"/>
  <c r="M20" i="7"/>
  <c r="K15" i="7"/>
  <c r="I10" i="7"/>
  <c r="J10" i="7" s="1"/>
  <c r="D15" i="7"/>
  <c r="E15" i="7" s="1"/>
  <c r="F15" i="7" s="1"/>
  <c r="G15" i="7" s="1"/>
  <c r="I15" i="7" s="1"/>
  <c r="J15" i="7" s="1"/>
  <c r="E26" i="6"/>
  <c r="E20" i="6"/>
  <c r="E21" i="6"/>
  <c r="L21" i="6"/>
  <c r="L26" i="6"/>
  <c r="L20" i="6"/>
  <c r="R22" i="6"/>
  <c r="R29" i="6" s="1"/>
  <c r="R32" i="6" s="1"/>
  <c r="M21" i="6"/>
  <c r="M22" i="6" s="1"/>
  <c r="D17" i="6"/>
  <c r="K21" i="6"/>
  <c r="K22" i="6" s="1"/>
  <c r="P26" i="6"/>
  <c r="K26" i="7"/>
  <c r="K24" i="7"/>
  <c r="M11" i="7"/>
  <c r="M14" i="7"/>
  <c r="L24" i="7"/>
  <c r="M28" i="7"/>
  <c r="B29" i="6"/>
  <c r="B32" i="6" s="1"/>
  <c r="B35" i="6" s="1"/>
  <c r="B36" i="6" s="1"/>
  <c r="B37" i="6" s="1"/>
  <c r="P29" i="6"/>
  <c r="P32" i="6" s="1"/>
  <c r="H21" i="6"/>
  <c r="H22" i="6" s="1"/>
  <c r="H29" i="6" s="1"/>
  <c r="H32" i="6" s="1"/>
  <c r="I20" i="7"/>
  <c r="J20" i="7" s="1"/>
  <c r="M24" i="6"/>
  <c r="M25" i="6" s="1"/>
  <c r="L26" i="7"/>
  <c r="L14" i="7"/>
  <c r="L28" i="7"/>
  <c r="L11" i="7"/>
  <c r="D13" i="7"/>
  <c r="E13" i="7" s="1"/>
  <c r="F13" i="7" s="1"/>
  <c r="G13" i="7" s="1"/>
  <c r="I13" i="7" s="1"/>
  <c r="J13" i="7" s="1"/>
  <c r="O6" i="2" s="1" a="1"/>
  <c r="D16" i="7"/>
  <c r="E16" i="7" s="1"/>
  <c r="F16" i="7" s="1"/>
  <c r="G16" i="7" s="1"/>
  <c r="I16" i="7" s="1"/>
  <c r="J16" i="7" s="1"/>
  <c r="D26" i="7"/>
  <c r="E26" i="7" s="1"/>
  <c r="F26" i="7" s="1"/>
  <c r="G26" i="7" s="1"/>
  <c r="I26" i="7" s="1"/>
  <c r="J26" i="7" s="1"/>
  <c r="K14" i="7"/>
  <c r="P6" i="2" s="1" a="1"/>
  <c r="K28" i="7"/>
  <c r="K11" i="7"/>
  <c r="E3" i="11"/>
  <c r="P35" i="6"/>
  <c r="P36" i="6" s="1"/>
  <c r="P37" i="6" s="1"/>
  <c r="P34" i="6"/>
  <c r="B34" i="6"/>
  <c r="I29" i="6"/>
  <c r="I32" i="6" s="1"/>
  <c r="R35" i="6"/>
  <c r="R36" i="6" s="1"/>
  <c r="R37" i="6" s="1"/>
  <c r="R34" i="6"/>
  <c r="H35" i="6"/>
  <c r="H36" i="6" s="1"/>
  <c r="H37" i="6" s="1"/>
  <c r="H34" i="6"/>
  <c r="F24" i="6"/>
  <c r="F25" i="6" s="1"/>
  <c r="F17" i="6"/>
  <c r="N20" i="6"/>
  <c r="N21" i="6"/>
  <c r="Q24" i="6"/>
  <c r="Q25" i="6" s="1"/>
  <c r="Q17" i="6"/>
  <c r="G21" i="6"/>
  <c r="G22" i="6" s="1"/>
  <c r="G29" i="6" s="1"/>
  <c r="G32" i="6" s="1"/>
  <c r="N26" i="6"/>
  <c r="C17" i="6"/>
  <c r="K23" i="7"/>
  <c r="A204" i="9"/>
  <c r="A205" i="9" s="1"/>
  <c r="A219" i="9"/>
  <c r="G140" i="9"/>
  <c r="B89" i="10"/>
  <c r="AV89" i="10" s="1"/>
  <c r="B215" i="9"/>
  <c r="G141" i="9"/>
  <c r="A206" i="9"/>
  <c r="B207" i="9"/>
  <c r="A217" i="9"/>
  <c r="B211" i="9"/>
  <c r="A210" i="9"/>
  <c r="A171" i="9"/>
  <c r="A218" i="9"/>
  <c r="H142" i="9"/>
  <c r="B38" i="6"/>
  <c r="B39" i="6" s="1"/>
  <c r="P38" i="6"/>
  <c r="O20" i="6" l="1"/>
  <c r="O21" i="6"/>
  <c r="O26" i="6"/>
  <c r="E22" i="6"/>
  <c r="E29" i="6" s="1"/>
  <c r="E32" i="6" s="1"/>
  <c r="K29" i="6"/>
  <c r="K32" i="6" s="1"/>
  <c r="K35" i="6" s="1"/>
  <c r="K36" i="6" s="1"/>
  <c r="J21" i="6"/>
  <c r="J22" i="6" s="1"/>
  <c r="J29" i="6" s="1"/>
  <c r="J32" i="6" s="1"/>
  <c r="J26" i="6"/>
  <c r="P23" i="2"/>
  <c r="H19" i="2" s="1"/>
  <c r="P7" i="2"/>
  <c r="H3" i="2" s="1"/>
  <c r="P11" i="2"/>
  <c r="H7" i="2" s="1"/>
  <c r="P12" i="2"/>
  <c r="H8" i="2" s="1"/>
  <c r="P28" i="2"/>
  <c r="H24" i="2" s="1"/>
  <c r="P21" i="2"/>
  <c r="H17" i="2" s="1"/>
  <c r="P14" i="2"/>
  <c r="H10" i="2" s="1"/>
  <c r="P15" i="2"/>
  <c r="H11" i="2" s="1"/>
  <c r="P17" i="2"/>
  <c r="H13" i="2" s="1"/>
  <c r="P19" i="2"/>
  <c r="H15" i="2" s="1"/>
  <c r="P16" i="2"/>
  <c r="H12" i="2" s="1"/>
  <c r="P9" i="2"/>
  <c r="H5" i="2" s="1"/>
  <c r="P25" i="2"/>
  <c r="H21" i="2" s="1"/>
  <c r="P18" i="2"/>
  <c r="H14" i="2" s="1"/>
  <c r="P8" i="2"/>
  <c r="H4" i="2" s="1"/>
  <c r="P26" i="2"/>
  <c r="H22" i="2" s="1"/>
  <c r="P27" i="2"/>
  <c r="H23" i="2" s="1"/>
  <c r="P20" i="2"/>
  <c r="H16" i="2" s="1"/>
  <c r="P13" i="2"/>
  <c r="H9" i="2" s="1"/>
  <c r="P6" i="2"/>
  <c r="H2" i="2" s="1"/>
  <c r="P22" i="2"/>
  <c r="H18" i="2" s="1"/>
  <c r="P24" i="2"/>
  <c r="H20" i="2" s="1"/>
  <c r="P10" i="2"/>
  <c r="H6" i="2" s="1"/>
  <c r="O27" i="2"/>
  <c r="G23" i="2" s="1"/>
  <c r="O9" i="2"/>
  <c r="G5" i="2" s="1"/>
  <c r="O24" i="2"/>
  <c r="G20" i="2" s="1"/>
  <c r="O10" i="2"/>
  <c r="G6" i="2" s="1"/>
  <c r="O15" i="2"/>
  <c r="G11" i="2" s="1"/>
  <c r="O16" i="2"/>
  <c r="G12" i="2" s="1"/>
  <c r="O12" i="2"/>
  <c r="G8" i="2" s="1"/>
  <c r="O8" i="2"/>
  <c r="G4" i="2" s="1"/>
  <c r="O17" i="2"/>
  <c r="G13" i="2" s="1"/>
  <c r="O22" i="2"/>
  <c r="G18" i="2" s="1"/>
  <c r="O19" i="2"/>
  <c r="G15" i="2" s="1"/>
  <c r="O18" i="2"/>
  <c r="G14" i="2" s="1"/>
  <c r="O26" i="2"/>
  <c r="G22" i="2" s="1"/>
  <c r="O13" i="2"/>
  <c r="G9" i="2" s="1"/>
  <c r="O25" i="2"/>
  <c r="G21" i="2" s="1"/>
  <c r="O14" i="2"/>
  <c r="G10" i="2" s="1"/>
  <c r="O28" i="2"/>
  <c r="G24" i="2" s="1"/>
  <c r="O20" i="2"/>
  <c r="G16" i="2" s="1"/>
  <c r="O6" i="2"/>
  <c r="G2" i="2" s="1"/>
  <c r="O11" i="2"/>
  <c r="G7" i="2" s="1"/>
  <c r="O21" i="2"/>
  <c r="G17" i="2" s="1"/>
  <c r="O23" i="2"/>
  <c r="G19" i="2" s="1"/>
  <c r="O7" i="2"/>
  <c r="G3" i="2" s="1"/>
  <c r="K34" i="6"/>
  <c r="D21" i="6"/>
  <c r="D26" i="6"/>
  <c r="D20" i="6"/>
  <c r="H38" i="6"/>
  <c r="H39" i="6" s="1"/>
  <c r="M29" i="6"/>
  <c r="M32" i="6" s="1"/>
  <c r="L22" i="6"/>
  <c r="L29" i="6" s="1"/>
  <c r="L32" i="6" s="1"/>
  <c r="A207" i="9"/>
  <c r="A208" i="9" s="1"/>
  <c r="A209" i="9" s="1"/>
  <c r="F3" i="11"/>
  <c r="C26" i="6"/>
  <c r="C20" i="6"/>
  <c r="C21" i="6"/>
  <c r="G35" i="6"/>
  <c r="G36" i="6" s="1"/>
  <c r="G34" i="6"/>
  <c r="I35" i="6"/>
  <c r="I36" i="6" s="1"/>
  <c r="I34" i="6"/>
  <c r="P39" i="6"/>
  <c r="R38" i="6"/>
  <c r="R39" i="6" s="1"/>
  <c r="Q26" i="6"/>
  <c r="Q21" i="6"/>
  <c r="Q20" i="6"/>
  <c r="N22" i="6"/>
  <c r="N29" i="6" s="1"/>
  <c r="N32" i="6" s="1"/>
  <c r="F21" i="6"/>
  <c r="F26" i="6"/>
  <c r="F20" i="6"/>
  <c r="E34" i="6"/>
  <c r="E35" i="6"/>
  <c r="E36" i="6" s="1"/>
  <c r="A215" i="9"/>
  <c r="B216" i="9"/>
  <c r="A216" i="9" s="1"/>
  <c r="A172" i="9"/>
  <c r="A211" i="9"/>
  <c r="B212" i="9"/>
  <c r="A212" i="9" s="1"/>
  <c r="A214" i="9" l="1"/>
  <c r="B228" i="9" s="1"/>
  <c r="A213" i="9"/>
  <c r="A203" i="9" s="1"/>
  <c r="J34" i="6"/>
  <c r="J35" i="6"/>
  <c r="J36" i="6" s="1"/>
  <c r="J37" i="6" s="1"/>
  <c r="O22" i="6"/>
  <c r="O29" i="6" s="1"/>
  <c r="O32" i="6" s="1"/>
  <c r="L35" i="6"/>
  <c r="L36" i="6" s="1"/>
  <c r="L34" i="6"/>
  <c r="M35" i="6"/>
  <c r="M36" i="6" s="1"/>
  <c r="M34" i="6"/>
  <c r="J38" i="6"/>
  <c r="J39" i="6" s="1"/>
  <c r="Q22" i="6"/>
  <c r="Q29" i="6" s="1"/>
  <c r="Q32" i="6" s="1"/>
  <c r="Q34" i="6" s="1"/>
  <c r="K37" i="6"/>
  <c r="K38" i="6"/>
  <c r="K39" i="6" s="1"/>
  <c r="D22" i="6"/>
  <c r="D29" i="6" s="1"/>
  <c r="D32" i="6" s="1"/>
  <c r="Q35" i="6"/>
  <c r="Q36" i="6" s="1"/>
  <c r="E37" i="6"/>
  <c r="E38" i="6"/>
  <c r="E39" i="6" s="1"/>
  <c r="N35" i="6"/>
  <c r="N36" i="6" s="1"/>
  <c r="N34" i="6"/>
  <c r="C22" i="6"/>
  <c r="C29" i="6" s="1"/>
  <c r="C32" i="6" s="1"/>
  <c r="F22" i="6"/>
  <c r="F29" i="6" s="1"/>
  <c r="F32" i="6" s="1"/>
  <c r="I37" i="6"/>
  <c r="I38" i="6"/>
  <c r="I39" i="6" s="1"/>
  <c r="G37" i="6"/>
  <c r="G38" i="6"/>
  <c r="G39" i="6" s="1"/>
  <c r="A173" i="9"/>
  <c r="A169" i="9" s="1"/>
  <c r="B223" i="9"/>
  <c r="B230" i="9" l="1"/>
  <c r="B227" i="9"/>
  <c r="B224" i="9"/>
  <c r="A13" i="9" s="1"/>
  <c r="A233" i="9" s="1"/>
  <c r="G233" i="9" s="1"/>
  <c r="B229" i="9"/>
  <c r="B226" i="9"/>
  <c r="B225" i="9"/>
  <c r="B180" i="9"/>
  <c r="O35" i="6"/>
  <c r="O36" i="6" s="1"/>
  <c r="O34" i="6"/>
  <c r="B181" i="9"/>
  <c r="M37" i="6"/>
  <c r="M38" i="6"/>
  <c r="M39" i="6" s="1"/>
  <c r="D35" i="6"/>
  <c r="D36" i="6" s="1"/>
  <c r="D34" i="6"/>
  <c r="L37" i="6"/>
  <c r="L38" i="6"/>
  <c r="L39" i="6" s="1"/>
  <c r="B179" i="9"/>
  <c r="F35" i="6"/>
  <c r="F36" i="6" s="1"/>
  <c r="F34" i="6"/>
  <c r="C34" i="6"/>
  <c r="C35" i="6"/>
  <c r="C36" i="6" s="1"/>
  <c r="N37" i="6"/>
  <c r="N38" i="6"/>
  <c r="N39" i="6" s="1"/>
  <c r="Q37" i="6"/>
  <c r="Q38" i="6"/>
  <c r="Q39" i="6" s="1"/>
  <c r="B182" i="9"/>
  <c r="O37" i="6" l="1"/>
  <c r="O38" i="6"/>
  <c r="O39" i="6" s="1"/>
  <c r="D37" i="6"/>
  <c r="D38" i="6"/>
  <c r="D39" i="6" s="1"/>
  <c r="F37" i="6"/>
  <c r="F38" i="6"/>
  <c r="F39" i="6" s="1"/>
  <c r="C37" i="6"/>
  <c r="C38" i="6"/>
  <c r="C39" i="6" s="1"/>
  <c r="D233" i="9"/>
  <c r="L233" i="9"/>
  <c r="I233" i="9"/>
  <c r="E233" i="9"/>
  <c r="J233" i="9"/>
  <c r="H233" i="9"/>
  <c r="M233" i="9"/>
  <c r="N233" i="9"/>
  <c r="B233" i="9"/>
  <c r="C233" i="9"/>
  <c r="F233" i="9"/>
  <c r="Y233" i="9"/>
  <c r="O233" i="9"/>
  <c r="K233" i="9"/>
  <c r="S6" i="2" l="1" a="1"/>
  <c r="S15" i="2" s="1"/>
  <c r="B11" i="2" s="1"/>
  <c r="L11" i="2" s="1"/>
  <c r="C58" i="9"/>
  <c r="G139" i="9" s="1"/>
  <c r="C57" i="9"/>
  <c r="S13" i="2" l="1"/>
  <c r="B9" i="2" s="1"/>
  <c r="L9" i="2" s="1"/>
  <c r="S14" i="2"/>
  <c r="B10" i="2" s="1"/>
  <c r="L10" i="2" s="1"/>
  <c r="F137" i="9" s="1"/>
  <c r="AJ137" i="9" s="1"/>
  <c r="S20" i="2"/>
  <c r="B16" i="2" s="1"/>
  <c r="L16" i="2" s="1"/>
  <c r="S17" i="2"/>
  <c r="B13" i="2" s="1"/>
  <c r="L13" i="2" s="1"/>
  <c r="S6" i="2"/>
  <c r="B2" i="2" s="1"/>
  <c r="L2" i="2" s="1"/>
  <c r="S18" i="2"/>
  <c r="B14" i="2" s="1"/>
  <c r="L14" i="2" s="1"/>
  <c r="S9" i="2"/>
  <c r="B5" i="2" s="1"/>
  <c r="L5" i="2" s="1"/>
  <c r="S21" i="2"/>
  <c r="B17" i="2" s="1"/>
  <c r="L17" i="2" s="1"/>
  <c r="S19" i="2"/>
  <c r="B15" i="2" s="1"/>
  <c r="L15" i="2" s="1"/>
  <c r="S16" i="2"/>
  <c r="B12" i="2" s="1"/>
  <c r="L12" i="2" s="1"/>
  <c r="F136" i="9" s="1"/>
  <c r="AJ136" i="9" s="1"/>
  <c r="S10" i="2"/>
  <c r="B6" i="2" s="1"/>
  <c r="L6" i="2" s="1"/>
  <c r="F141" i="9" s="1"/>
  <c r="AJ141" i="9" s="1"/>
  <c r="S12" i="2"/>
  <c r="B8" i="2" s="1"/>
  <c r="L8" i="2" s="1"/>
  <c r="F140" i="9" s="1"/>
  <c r="S8" i="2"/>
  <c r="B4" i="2" s="1"/>
  <c r="L4" i="2" s="1"/>
  <c r="F139" i="9" s="1"/>
  <c r="AJ139" i="9" s="1"/>
  <c r="S22" i="2"/>
  <c r="B18" i="2" s="1"/>
  <c r="L18" i="2" s="1"/>
  <c r="S11" i="2"/>
  <c r="B7" i="2" s="1"/>
  <c r="L7" i="2" s="1"/>
  <c r="S7" i="2"/>
  <c r="B3" i="2" s="1"/>
  <c r="L3" i="2" s="1"/>
  <c r="C56" i="9"/>
  <c r="G138" i="9"/>
  <c r="F138" i="9" l="1"/>
  <c r="AJ138" i="9" s="1"/>
  <c r="H139" i="9"/>
  <c r="H141" i="9"/>
  <c r="AJ140" i="9"/>
  <c r="H140" i="9"/>
  <c r="G137" i="9"/>
  <c r="H137" i="9" s="1"/>
  <c r="C75" i="9"/>
  <c r="G136" i="9" s="1"/>
  <c r="H136" i="9" s="1"/>
  <c r="H138" i="9" l="1"/>
  <c r="H107" i="9" s="1"/>
  <c r="AH136" i="9"/>
  <c r="H144" i="9" l="1"/>
  <c r="H143" i="9"/>
  <c r="C86" i="9" s="1"/>
  <c r="C100" i="9" s="1"/>
  <c r="AH137" i="9"/>
  <c r="G145" i="9" l="1"/>
  <c r="H145" i="9"/>
  <c r="AH145" i="9" s="1"/>
  <c r="AH138" i="9"/>
  <c r="AH139" i="9" l="1"/>
  <c r="AH140" i="9" l="1"/>
  <c r="AH141" i="9" l="1"/>
  <c r="AH142" i="9" s="1"/>
  <c r="AH143" i="9" l="1"/>
  <c r="AH144" i="9" l="1"/>
  <c r="H146" i="9"/>
  <c r="G107" i="9" s="1"/>
  <c r="K107" i="9" l="1"/>
  <c r="H147" i="9"/>
  <c r="H149" i="9" s="1"/>
  <c r="I107" i="9"/>
  <c r="J107" i="9" s="1"/>
  <c r="AH146" i="9"/>
  <c r="L54" i="10" s="1"/>
  <c r="C111" i="9" l="1"/>
  <c r="C112" i="9" s="1"/>
  <c r="D79" i="10" s="1"/>
  <c r="D117" i="9"/>
  <c r="C117" i="9"/>
  <c r="C118" i="9" s="1"/>
  <c r="D83" i="10" s="1"/>
  <c r="E117" i="9"/>
  <c r="E118" i="9" s="1"/>
  <c r="J83" i="10" s="1"/>
  <c r="E111" i="9"/>
  <c r="E112" i="9" s="1"/>
  <c r="J79" i="10" s="1"/>
  <c r="D111" i="9"/>
  <c r="D112" i="9" s="1"/>
  <c r="G79" i="10" s="1"/>
  <c r="BG59" i="10"/>
  <c r="B59" i="10" s="1"/>
  <c r="AX59" i="10" s="1"/>
  <c r="BF61" i="10"/>
  <c r="H61" i="10"/>
  <c r="BF56" i="10"/>
  <c r="H56" i="10"/>
  <c r="BG58" i="10"/>
  <c r="B58" i="10" s="1"/>
  <c r="AX58" i="10" s="1"/>
  <c r="BG57" i="10"/>
  <c r="B57" i="10" s="1"/>
  <c r="AX57" i="10" s="1"/>
  <c r="BF58" i="10"/>
  <c r="L57" i="10"/>
  <c r="H55" i="10"/>
  <c r="L58" i="10"/>
  <c r="BG61" i="10"/>
  <c r="B61" i="10" s="1"/>
  <c r="AX61" i="10" s="1"/>
  <c r="BF57" i="10"/>
  <c r="H54" i="10"/>
  <c r="L60" i="10"/>
  <c r="BG55" i="10"/>
  <c r="B55" i="10" s="1"/>
  <c r="AX55" i="10" s="1"/>
  <c r="BG56" i="10"/>
  <c r="B56" i="10" s="1"/>
  <c r="AX56" i="10" s="1"/>
  <c r="BF60" i="10"/>
  <c r="BF55" i="10"/>
  <c r="H59" i="10"/>
  <c r="L55" i="10"/>
  <c r="BG54" i="10"/>
  <c r="B54" i="10" s="1"/>
  <c r="AX54" i="10" s="1"/>
  <c r="L61" i="10"/>
  <c r="L59" i="10"/>
  <c r="BF54" i="10"/>
  <c r="H58" i="10"/>
  <c r="BG60" i="10"/>
  <c r="B60" i="10" s="1"/>
  <c r="AX60" i="10" s="1"/>
  <c r="H57" i="10"/>
  <c r="L56" i="10"/>
  <c r="BF59" i="10"/>
  <c r="H60" i="10"/>
  <c r="L62" i="10"/>
  <c r="BG64" i="10"/>
  <c r="B64" i="10"/>
  <c r="AX64" i="10" s="1"/>
  <c r="H64" i="10"/>
  <c r="BF64" i="10"/>
  <c r="L64" i="10"/>
  <c r="L107" i="9"/>
  <c r="H63" i="10"/>
  <c r="L63" i="10"/>
  <c r="BG62" i="10"/>
  <c r="B62" i="10" s="1"/>
  <c r="AX62" i="10" s="1"/>
  <c r="BF62" i="10"/>
  <c r="H62" i="10"/>
  <c r="BF63" i="10"/>
  <c r="BG63" i="10"/>
  <c r="B63" i="10" s="1"/>
  <c r="AX63" i="10" s="1"/>
  <c r="K12" i="10"/>
  <c r="L65" i="10" l="1"/>
  <c r="L67" i="10" s="1"/>
  <c r="D118" i="9"/>
  <c r="G83" i="10" s="1"/>
  <c r="L22" i="10" l="1"/>
  <c r="I3" i="11" l="1"/>
  <c r="J3" i="11"/>
</calcChain>
</file>

<file path=xl/sharedStrings.xml><?xml version="1.0" encoding="utf-8"?>
<sst xmlns="http://schemas.openxmlformats.org/spreadsheetml/2006/main" count="764" uniqueCount="365">
  <si>
    <t>D2</t>
  </si>
  <si>
    <t>C2</t>
  </si>
  <si>
    <t>C1</t>
  </si>
  <si>
    <t>B1</t>
  </si>
  <si>
    <t>A1</t>
  </si>
  <si>
    <t>A2</t>
  </si>
  <si>
    <t>B1 con i.f.</t>
  </si>
  <si>
    <t>C3/D1</t>
  </si>
  <si>
    <t>C3/D1 con i.p.</t>
  </si>
  <si>
    <t>D2 con i.p.</t>
  </si>
  <si>
    <t>D3/E1</t>
  </si>
  <si>
    <t>E2</t>
  </si>
  <si>
    <t>E2 con i.p.</t>
  </si>
  <si>
    <t>F1</t>
  </si>
  <si>
    <t>F1 con i.p.</t>
  </si>
  <si>
    <t>F2</t>
  </si>
  <si>
    <t>F2 con i.d.</t>
  </si>
  <si>
    <t>costo</t>
  </si>
  <si>
    <t>Parametri</t>
  </si>
  <si>
    <t>di cui</t>
  </si>
  <si>
    <t>Costo orario</t>
  </si>
  <si>
    <t>Spese generali</t>
  </si>
  <si>
    <t>IVA</t>
  </si>
  <si>
    <t>Costo</t>
  </si>
  <si>
    <t>Note</t>
  </si>
  <si>
    <t>profilo Cooperative</t>
  </si>
  <si>
    <t>Profilo Enti Locali</t>
  </si>
  <si>
    <t>D6</t>
  </si>
  <si>
    <t>D5</t>
  </si>
  <si>
    <t>D4</t>
  </si>
  <si>
    <t>D3</t>
  </si>
  <si>
    <t>D1</t>
  </si>
  <si>
    <t>C5</t>
  </si>
  <si>
    <t>C4</t>
  </si>
  <si>
    <t>C3</t>
  </si>
  <si>
    <t>B7</t>
  </si>
  <si>
    <t>B6</t>
  </si>
  <si>
    <t>B5</t>
  </si>
  <si>
    <t>B4</t>
  </si>
  <si>
    <t>B3</t>
  </si>
  <si>
    <t>B2</t>
  </si>
  <si>
    <t>A5</t>
  </si>
  <si>
    <t>A4</t>
  </si>
  <si>
    <t>A3</t>
  </si>
  <si>
    <t>costo - straordinario</t>
  </si>
  <si>
    <t>CCNL Applicato</t>
  </si>
  <si>
    <t>CCNL Cooperative</t>
  </si>
  <si>
    <t>TipologiaAliquota IRAP</t>
  </si>
  <si>
    <t>Regione</t>
  </si>
  <si>
    <t>Sicilia</t>
  </si>
  <si>
    <t>Aliquota Irap Applicata</t>
  </si>
  <si>
    <t>Indennità di turno</t>
  </si>
  <si>
    <t>Si</t>
  </si>
  <si>
    <t>Livelli</t>
  </si>
  <si>
    <t>Minimi contr.li conglobati mensili</t>
  </si>
  <si>
    <t>Anzianità (tre scatti)</t>
  </si>
  <si>
    <t>Indennità professionali</t>
  </si>
  <si>
    <t>Indennità di funzione</t>
  </si>
  <si>
    <t>Altre indennità</t>
  </si>
  <si>
    <t>Lordo Mensile</t>
  </si>
  <si>
    <t>Totale Lordo annuo+ 13esima</t>
  </si>
  <si>
    <t>Oneri</t>
  </si>
  <si>
    <t>Inps (26,90%)</t>
  </si>
  <si>
    <t>Inail (3%)</t>
  </si>
  <si>
    <t>Totale oneri</t>
  </si>
  <si>
    <t>TFR</t>
  </si>
  <si>
    <t>Rivalutazione T.F.R. (3,302885% )</t>
  </si>
  <si>
    <t>Previdenza complementare (1%)</t>
  </si>
  <si>
    <t>Assistenza Sanitaria Integrativa</t>
  </si>
  <si>
    <t>Costo Annuo</t>
  </si>
  <si>
    <t>Totale costo annuo</t>
  </si>
  <si>
    <t>Irap</t>
  </si>
  <si>
    <t>Totale costo orario</t>
  </si>
  <si>
    <t>Specifica</t>
  </si>
  <si>
    <t>Calabria</t>
  </si>
  <si>
    <t>Campania</t>
  </si>
  <si>
    <t>Puglia</t>
  </si>
  <si>
    <t>No</t>
  </si>
  <si>
    <t>indennità di turno</t>
  </si>
  <si>
    <t>valore buoni pasto</t>
  </si>
  <si>
    <t>gg/mese buoni pasto</t>
  </si>
  <si>
    <t>CCNL Enti LOCALI</t>
  </si>
  <si>
    <t>COSTO ORARIO</t>
  </si>
  <si>
    <t>Retribuzione
 annua</t>
  </si>
  <si>
    <t>Retribuzione
 Mensile</t>
  </si>
  <si>
    <t>Rateo 13^</t>
  </si>
  <si>
    <t>Rateo Ferie</t>
  </si>
  <si>
    <t>Mensile</t>
  </si>
  <si>
    <t>Buoni pasto</t>
  </si>
  <si>
    <t>Mensile 
all-in</t>
  </si>
  <si>
    <t>Orario</t>
  </si>
  <si>
    <t>Straordinario 
Feriale</t>
  </si>
  <si>
    <t>Straordinario 
Festivo o Notturno</t>
  </si>
  <si>
    <t>Straordinario 
festivo e notturno</t>
  </si>
  <si>
    <t>d6</t>
  </si>
  <si>
    <t>d5</t>
  </si>
  <si>
    <t>d4</t>
  </si>
  <si>
    <t>d3</t>
  </si>
  <si>
    <t>d2</t>
  </si>
  <si>
    <t>d1</t>
  </si>
  <si>
    <t>c5</t>
  </si>
  <si>
    <t>c4</t>
  </si>
  <si>
    <t>c3</t>
  </si>
  <si>
    <t>c2</t>
  </si>
  <si>
    <t>c1</t>
  </si>
  <si>
    <t>b7</t>
  </si>
  <si>
    <t>b6</t>
  </si>
  <si>
    <t>b5</t>
  </si>
  <si>
    <t>b4</t>
  </si>
  <si>
    <t>b3</t>
  </si>
  <si>
    <t>b2</t>
  </si>
  <si>
    <t>b1</t>
  </si>
  <si>
    <t>a5</t>
  </si>
  <si>
    <t>a4</t>
  </si>
  <si>
    <t>a3</t>
  </si>
  <si>
    <t>a2</t>
  </si>
  <si>
    <t>a1</t>
  </si>
  <si>
    <t>costo ordinario</t>
  </si>
  <si>
    <t>Profilo professionale</t>
  </si>
  <si>
    <t>Regione di appartenenza</t>
  </si>
  <si>
    <t>imponibile irap</t>
  </si>
  <si>
    <t>imponibile irap orario</t>
  </si>
  <si>
    <t>Tipologia di Servizio</t>
  </si>
  <si>
    <t>CCNL applicato</t>
  </si>
  <si>
    <t>Dati</t>
  </si>
  <si>
    <t>E' previsto coordinamento?</t>
  </si>
  <si>
    <t>Sono previste spese generali</t>
  </si>
  <si>
    <t>Inserire la percentuale di spese generali che si intende applicare</t>
  </si>
  <si>
    <t>Numero ore annuali lavorate</t>
  </si>
  <si>
    <t>Aliquota IVA applicata</t>
  </si>
  <si>
    <t>PIANO DELLE SPESE CALCOLATO</t>
  </si>
  <si>
    <t>Eventuale Compartecipazione degli Utenti</t>
  </si>
  <si>
    <t>Coordinatore</t>
  </si>
  <si>
    <t>da considerare</t>
  </si>
  <si>
    <t>ore di servizio</t>
  </si>
  <si>
    <t>totale al netto compartecipazione</t>
  </si>
  <si>
    <t>DISTRIBUZIONE TEMPORALE DEL SERVIZIO PROGRAMMATA</t>
  </si>
  <si>
    <t>A. Dati Identificativi</t>
  </si>
  <si>
    <t>a.</t>
  </si>
  <si>
    <t>Titolo del Progetto</t>
  </si>
  <si>
    <t>b.</t>
  </si>
  <si>
    <t>Localizzazione</t>
  </si>
  <si>
    <t>c.</t>
  </si>
  <si>
    <t>Soggetto attuatore</t>
  </si>
  <si>
    <t>d</t>
  </si>
  <si>
    <t>R.U.P.</t>
  </si>
  <si>
    <t>e.</t>
  </si>
  <si>
    <t>N. telefono del RUP</t>
  </si>
  <si>
    <t>Mail del RUP</t>
  </si>
  <si>
    <t>f</t>
  </si>
  <si>
    <t>g</t>
  </si>
  <si>
    <t>Importo richiesto</t>
  </si>
  <si>
    <t xml:space="preserve">b. </t>
  </si>
  <si>
    <t>f.</t>
  </si>
  <si>
    <t>g.</t>
  </si>
  <si>
    <t>h.</t>
  </si>
  <si>
    <t>i.</t>
  </si>
  <si>
    <t>C. Piano delle spese</t>
  </si>
  <si>
    <t>a. Tipologie di spesa</t>
  </si>
  <si>
    <t>Quantità</t>
  </si>
  <si>
    <t>Totale al loro compartecipazione</t>
  </si>
  <si>
    <t>Totale al netto compartecipazione</t>
  </si>
  <si>
    <t>Tipologia</t>
  </si>
  <si>
    <t>D. Iter procedurale e tempistica</t>
  </si>
  <si>
    <t>a.  Pubblicazione del bando di gara o equivalente (se pertinente)</t>
  </si>
  <si>
    <t>b. Stipulazione del contratto di affidamento o equivalente (se pertinente)</t>
  </si>
  <si>
    <t>c. Avvio servizio</t>
  </si>
  <si>
    <t>d. data prevista conclusione servizio</t>
  </si>
  <si>
    <t>Data (mese e anno)</t>
  </si>
  <si>
    <t>B. Dettaglio dell'intervento e risultati attesi</t>
  </si>
  <si>
    <t>E. Cronoprogramma di spesa</t>
  </si>
  <si>
    <t>totale al lordo compartecipazione</t>
  </si>
  <si>
    <t>F. Cronoprogramma di avanzamento del finanziamento</t>
  </si>
  <si>
    <t>Inserire l'incidenza del coordinamento (ore coordinamento/ore tot. Servizio)</t>
  </si>
  <si>
    <t>ore del/dei coordinatore/i</t>
  </si>
  <si>
    <t>Nido / Micro-nido</t>
  </si>
  <si>
    <t>Servizi integrativi</t>
  </si>
  <si>
    <t>Servizio</t>
  </si>
  <si>
    <t>Centri per bambini e famiglie</t>
  </si>
  <si>
    <t>Spazio Gioco per bambini</t>
  </si>
  <si>
    <t>Spazio Bambini e Bambine</t>
  </si>
  <si>
    <t>Centro per i Bambini e le Famiglie</t>
  </si>
  <si>
    <t>Ludoteca</t>
  </si>
  <si>
    <t>Sezioni Primavera</t>
  </si>
  <si>
    <t>Centro Ludico prima infanzia</t>
  </si>
  <si>
    <t>% edcucatore d1</t>
  </si>
  <si>
    <t>rapporto ausiliari</t>
  </si>
  <si>
    <t>Servizio di nuova istituzione/utenti aggiuntivi</t>
  </si>
  <si>
    <t>Estensione del periodo di apertura (mensilità aggiuntive)</t>
  </si>
  <si>
    <t>Sostegno alla gestione di servizi ed utenti già attivati</t>
  </si>
  <si>
    <t>distinzione per fasce di età?</t>
  </si>
  <si>
    <t>di cui Lattanti</t>
  </si>
  <si>
    <t>di cui Semi-Divezzi</t>
  </si>
  <si>
    <t>di cui Divezzi</t>
  </si>
  <si>
    <t>Orario di partura settimanale</t>
  </si>
  <si>
    <t>lun</t>
  </si>
  <si>
    <t>mart</t>
  </si>
  <si>
    <t>merc</t>
  </si>
  <si>
    <t>gio</t>
  </si>
  <si>
    <t>ven</t>
  </si>
  <si>
    <t>sab</t>
  </si>
  <si>
    <t>dom.</t>
  </si>
  <si>
    <t>mesi di servizio previsti</t>
  </si>
  <si>
    <t>tariffa media al mese pagata dagli utenti (compartecipazione)</t>
  </si>
  <si>
    <t>Educatori Professionali</t>
  </si>
  <si>
    <t>Educatori</t>
  </si>
  <si>
    <t>Ausiliari</t>
  </si>
  <si>
    <t>media rapporto educatori</t>
  </si>
  <si>
    <t>Cuoco</t>
  </si>
  <si>
    <t>Limite massimo (di unità equivalenti)</t>
  </si>
  <si>
    <t>Unità equivalenti previste</t>
  </si>
  <si>
    <t>Estensione dell'orario di servizio (maggiore orario settimanale)</t>
  </si>
  <si>
    <t>numero di pasti teorici</t>
  </si>
  <si>
    <t>Costo previsto per il pasto)</t>
  </si>
  <si>
    <t>Educatore Professionale</t>
  </si>
  <si>
    <t xml:space="preserve">Educatore </t>
  </si>
  <si>
    <t>Ausiliario</t>
  </si>
  <si>
    <t>Pasti</t>
  </si>
  <si>
    <t>Responsabile amministrativo</t>
  </si>
  <si>
    <t>mesi minimi apertura</t>
  </si>
  <si>
    <t>mesi massima apertura</t>
  </si>
  <si>
    <t>orario minimo giornaliero</t>
  </si>
  <si>
    <t>orario massimo giornaliero</t>
  </si>
  <si>
    <t>giorni minimi a settimana</t>
  </si>
  <si>
    <t>giorni massimi a settimana</t>
  </si>
  <si>
    <t>rapporto educatore D2 per bambino - LATTANTI 3-12 mesi</t>
  </si>
  <si>
    <t>rapporto educatore D2 per bambino - SEMIDIVEZZI 13-24</t>
  </si>
  <si>
    <t>rapporto educatore D2 per bambino - DIVEZZI 25-36</t>
  </si>
  <si>
    <t>gg. Complessive</t>
  </si>
  <si>
    <t>Verifica di corrispondenza</t>
  </si>
  <si>
    <t>Numero massimo di mesi programmabili per periodo</t>
  </si>
  <si>
    <t>Il soggetto che paga i servizi oggetto della scheda di intervento, incassa delle somme dagli utenti in ragione di servizi all'infanzia?</t>
  </si>
  <si>
    <t>Costo lordo</t>
  </si>
  <si>
    <t>Eventuali economie in termini percentuali sul costo del personale riscontrate  per effetto dell'aggiudicazione (nel caso di gara già bandita ed aggiudicata)</t>
  </si>
  <si>
    <t>Tipologia di servizio</t>
  </si>
  <si>
    <t>Estremi dell'eventuale regolamentazione a livello di ambito/distretto e/o a livello di Comune</t>
  </si>
  <si>
    <t>Descrizione dell'eventuale regolamentazione a livello di ambito/distretto e/o a livello di comune</t>
  </si>
  <si>
    <t>Estremi del sistema di regolazione della compartecipazione degli utenti</t>
  </si>
  <si>
    <t>Descrizione del sistema di regolamentazione della compartecipazione degli utenti</t>
  </si>
  <si>
    <t>Spesa al lorodo</t>
  </si>
  <si>
    <t>Spesa al netto</t>
  </si>
  <si>
    <t>Descrizione del servizio</t>
  </si>
  <si>
    <t>Iter procedurale e tempistica</t>
  </si>
  <si>
    <t>Pubblicazione del bando di gara o equivalente (se pertinente)</t>
  </si>
  <si>
    <t>Stipulazione del contratto di affidamento o equivalente (se pertinente)</t>
  </si>
  <si>
    <t>Avvio servizio</t>
  </si>
  <si>
    <t>data prevista conclusione servizio</t>
  </si>
  <si>
    <t>n. posti utenti da acquistare</t>
  </si>
  <si>
    <t>responsabile amministrativo</t>
  </si>
  <si>
    <t>Numero mesi programmati</t>
  </si>
  <si>
    <t>Estremi dell'atto che regola il sistema di accreditamento</t>
  </si>
  <si>
    <t>Descrizione dei requisiti previsti nel sistema di accreditamento</t>
  </si>
  <si>
    <t>Descrizione delle modalità di controllo dei soggetti accreditati</t>
  </si>
  <si>
    <t>Mesi di servizio</t>
  </si>
  <si>
    <t>gg. di servizio settimanali</t>
  </si>
  <si>
    <t>l.</t>
  </si>
  <si>
    <t>percentuale</t>
  </si>
  <si>
    <t>quantità</t>
  </si>
  <si>
    <t>affidamento diretto /trattativa privata</t>
  </si>
  <si>
    <t>Vuoi utilizzare un costo utente/mese da indagine di mercato?</t>
  </si>
  <si>
    <t>Percentuale di abbattimento del costo teorico rispetto al costo di mercato</t>
  </si>
  <si>
    <t>Costo posto utente/mese stimato al netto iva</t>
  </si>
  <si>
    <t>Costo posto utente/mese rilevato da indagine di mercato (al netto IVA)</t>
  </si>
  <si>
    <t>Inserire la motivazione circa la differenza tra il costo rilevato da indagine di mercato ed il costo stimato (specificando espressamente come sia possibile garantire il rispetto dei requisiti strutturali ed organizzativi del servizio con il costo rilevato "a mercato")</t>
  </si>
  <si>
    <t>Specificare le tariffe ordinariamente richieste dai soggetti gestori individuati a trattativa privata/con affidamento diretto e inserire l'impegno a non riconoscere tariffe superiori a quelle ordinariamente richieste dai soggetti gestori ai privati</t>
  </si>
  <si>
    <t>Abbattimento costi in ragione dei livelli di mercato</t>
  </si>
  <si>
    <t>G. Speficiche in caso di affidamento diretto - trattativa privata</t>
  </si>
  <si>
    <t>Il piano dei costi (sez.  C) è stato redatto sulla scorta di una indagine di mercato preliminare?</t>
  </si>
  <si>
    <t>Tipo Scheda</t>
  </si>
  <si>
    <t>Titolo scheda</t>
  </si>
  <si>
    <t>Tipologia Servizio</t>
  </si>
  <si>
    <t>Posti  acquistati con il PAC secondo riparto</t>
  </si>
  <si>
    <t>c.1</t>
  </si>
  <si>
    <t>c.2</t>
  </si>
  <si>
    <t>c.3</t>
  </si>
  <si>
    <t>c.4</t>
  </si>
  <si>
    <t>c.5</t>
  </si>
  <si>
    <t>c.6</t>
  </si>
  <si>
    <t>d.</t>
  </si>
  <si>
    <t>utenti per a.s.</t>
  </si>
  <si>
    <t>Risorse PAC</t>
  </si>
  <si>
    <t>Utenti PAC</t>
  </si>
  <si>
    <t>Risorse</t>
  </si>
  <si>
    <t>n. posti utenti già acquistati (a.s. 2013/14)</t>
  </si>
  <si>
    <r>
      <t>Costo posto utente/mese rilevato da indagine di mercato</t>
    </r>
    <r>
      <rPr>
        <b/>
        <strike/>
        <sz val="11"/>
        <color indexed="8"/>
        <rFont val="Calibri"/>
        <family val="2"/>
      </rPr>
      <t xml:space="preserve"> (al netto IVA)</t>
    </r>
  </si>
  <si>
    <t>DATI GENEARALI</t>
  </si>
  <si>
    <t>DESCRIZIONE DELL'INTERVENTO DA FINANZIARE</t>
  </si>
  <si>
    <t>Modalità di acquisizione dei servizi</t>
  </si>
  <si>
    <t>DIMENSIONE DEI SERVIZI DA ACQUISTARE</t>
  </si>
  <si>
    <r>
      <t xml:space="preserve">di cui 
</t>
    </r>
    <r>
      <rPr>
        <i/>
        <sz val="11"/>
        <color indexed="8"/>
        <rFont val="Calibri"/>
        <family val="2"/>
      </rPr>
      <t>posti già acquistati (a.s. 2013/14)</t>
    </r>
  </si>
  <si>
    <t>CARATTERISTICHE DEI SERVIZI DA ACQUISTARE</t>
  </si>
  <si>
    <t>EVENTUALE RICORSO A DATI "DI MERCATO" PER LA QUANTIFICAZIONE DELLE SPESE DA CHIEDERE A FINANZIAMENTO</t>
  </si>
  <si>
    <t>Scheda di intervento
Tipologia 2 -Acquisto di posti-utente pre servizi in strutture accreditate</t>
  </si>
  <si>
    <t>hh. di servizio settimanali</t>
  </si>
  <si>
    <t>hh. di servizio totali</t>
  </si>
  <si>
    <t xml:space="preserve">N.B.: Se il numero di giornate appare evidenziato in rosso, non si stanno rispettando i requisti regionali </t>
  </si>
  <si>
    <t>appalto di servizio ex D.lgs 50/2016 e ss.mm.ii. da bandire</t>
  </si>
  <si>
    <t>appalto di servizio già aggiudicato</t>
  </si>
  <si>
    <t>alla data di programmazione iniziale</t>
  </si>
  <si>
    <t>da novembre 2019</t>
  </si>
  <si>
    <t>da aprile 2020</t>
  </si>
  <si>
    <t>da settembre 2020</t>
  </si>
  <si>
    <t>CCNL vigente</t>
  </si>
  <si>
    <t>COSTO ORARIO (*)</t>
  </si>
  <si>
    <t xml:space="preserve">Orario </t>
  </si>
  <si>
    <t>da nuovo ccnl</t>
  </si>
  <si>
    <t>D7</t>
  </si>
  <si>
    <t>C6</t>
  </si>
  <si>
    <t>B8</t>
  </si>
  <si>
    <t>A6</t>
  </si>
  <si>
    <t>(*) da art. 10 del ccnl 9/5/2006, un mese è fatto da 156 ore</t>
  </si>
  <si>
    <t>Oneri riflessi</t>
  </si>
  <si>
    <t>CPDEL</t>
  </si>
  <si>
    <t>Inail</t>
  </si>
  <si>
    <t>Inadel (3,60% su 80% retribuzione) -TFS</t>
  </si>
  <si>
    <t>Inps (27,33%)</t>
  </si>
  <si>
    <t>Oneri per la sciurezza</t>
  </si>
  <si>
    <t>Rivalutazione T.F.R. (2,2418% ) * stimata su 6 anni</t>
  </si>
  <si>
    <t>Previdenza complementare (1,5%)</t>
  </si>
  <si>
    <t>Irap forfettaria al 3,9%</t>
  </si>
  <si>
    <t>Rivalutazione T.F.R. (1,8673% ) * stimata su 6 anni</t>
  </si>
  <si>
    <t>CCNL di riferimento</t>
  </si>
  <si>
    <t>EELL</t>
  </si>
  <si>
    <t>Coperative</t>
  </si>
  <si>
    <t>da aprile 2018</t>
  </si>
  <si>
    <t>ordinario</t>
  </si>
  <si>
    <t>straordinario</t>
  </si>
  <si>
    <t>Inserire eventuale percentuale aggiuntiva di spese generali che si intende applicare nell'a.s. 2020/2021 in realzione alle misure COVID-19 (max. 2% aggiuntivo)</t>
  </si>
  <si>
    <t>Totale Costo Lordo</t>
  </si>
  <si>
    <t>costo netto senza spese generali ex COVID-19</t>
  </si>
  <si>
    <t>Totale Costo Netto</t>
  </si>
  <si>
    <t>Spese generali aggiuntive (ex COVID-19)</t>
  </si>
  <si>
    <t>Iva su Spese generali ex COVID</t>
  </si>
  <si>
    <t>Spese generali ex Covid</t>
  </si>
  <si>
    <t>2° sem 2023</t>
  </si>
  <si>
    <t>a.s. 2023-2024</t>
  </si>
  <si>
    <t>settembre-dicembre 2023</t>
  </si>
  <si>
    <t>1° semestre 2024</t>
  </si>
  <si>
    <t>a.s. 23/24</t>
  </si>
  <si>
    <t>1° sem 2024</t>
  </si>
  <si>
    <t>2° sem 2024</t>
  </si>
  <si>
    <t>2023-2024 - Utenti</t>
  </si>
  <si>
    <t>2023-2024 - Risorse</t>
  </si>
  <si>
    <t>2022/23-UtentiMantenuti</t>
  </si>
  <si>
    <t>2022/23-UtentiAggiuntivi</t>
  </si>
  <si>
    <t>2022/23-UtentiEstensioneOraria</t>
  </si>
  <si>
    <t>2022/23-UtentiEstensionePerioro</t>
  </si>
  <si>
    <t>2022/23-RisorseMantenuti</t>
  </si>
  <si>
    <t>2022/23-RisorseAggiuntivi</t>
  </si>
  <si>
    <t>2022/23-RisorseEstensioneOraria</t>
  </si>
  <si>
    <t>2022/23-RisorseEstensionePerioro</t>
  </si>
  <si>
    <t>2° semestre 2024</t>
  </si>
  <si>
    <t>Acquisto di posti-utente in strutture private accreditate</t>
  </si>
  <si>
    <t>San Cataldo  - facenti parte del Distretto Socio Sanitario n. 11</t>
  </si>
  <si>
    <t>Comune di San Cataldo (CL)</t>
  </si>
  <si>
    <t xml:space="preserve">Prevista la compartecipazione economica da parte delle famiglie in relazione alla situazione reddituale del nucleo familiare di riferimento del minore, così come disposto dall’Art. 23 del Regolamento dei Servizi Socio-Assistenziali – del Comune di San Cataldo – Delibera di Consiglio N° 103 del 02/12/2016 – definito ai sensi dell’Art. 1 del D.A. n. 867/S7 del 15/04/2003  e/o s.m.i. – “Accesso agevolato ai servizi – Criteri unificati di valutazione economica” –:  “Il servizio sarà  gratuito per i soggetti la cui condizione economica complessiva del nucleo familiare di riferimento (ISE) , determinata ai sensi dell’Art. 1 del D.A. n. 867/S7 del 15/04/2003  e/o s.m.i. - Accesso agevolato ai servizi – Criteri unificati di valutazione economica – non supera l’importo annuo del trattamento minimo di pensione INPS per i lavoratori dipendenti adeguato, ove spettante, alle misure fissate dallo art. 38 della Legge n. 488/200, maggiorato:
-	del 50% nel caso in cui il soggetto richiedente è unico componente il nucleo familiare;
-	del 100% nel caso di due componenti;
-	dell'ulteriore 35% per ogni componente minore od adulto oltre il secondo.
Per condizioni economiche superiori i soggetti beneficiari possono essere ammessi al servizio previa compartecipazione in misura pari al 5% del costo sostenuto dal comune per ogni € 516,46 superiore al limite per la gratuità”. </t>
  </si>
  <si>
    <t>Delibera di Consiglio del Comune di San Cataldo N° 103 del 02/12/2016</t>
  </si>
  <si>
    <t>Deliberazione del Comitato dei Sindaci - seduta del 31/07/2020  - di cui alla D.D. n° 889 del 11/09/2020</t>
  </si>
  <si>
    <t xml:space="preserve">IL “Sistema di Accreditamento”,  prevede  l’erogazione degli interventi di natura socio-assistenziali  mediante buoni di servizio (voucher ) resi attraverso Soggetti del Terzo Settore aventi i requisiti Tecnico-Qualitativi iscritti all’Albo Distrettuale.
I Criteri  per    l’Istituzione del Registro Unico Distrettuale (R.U.D.) degli operatori accreditati per l’erogazione dei servizi socio-assistenziali e socio-educativi con il  sistema dell’accreditamento, che garantisce una maggiore collaborazione tra enti pubblici e soggetti no profit e/o del Terzo Settore, nell’ottica di una razionalizzazione delle risorse economiche pubbliche, della valorizzazione dell’apporto delle organizzazioni non profit presenti sul territorio e dell'affermazione del principio della libera scelta da parte degli utenti/referenti familiari. l’iscrizione  al Registro Unico  Distrettuale (R.U.D.)  degli Organismi sopra specificati per l’erogazione, in relazione al target di intervento, dei servizi di:
A)	Target Anziani: Assistenza Domiciliare Anziani, Centri Diurni Anziani, Pasti a Domicilio, Lavanderia a Domicilio.
B)	Target Disabili: Assistenza Domiciliare, Assistenza Domiciliare malati oncologici, Centri diurni, Centri di aggregazione, Centro per soggetti con autismo, Servizi di inserimento lavorativo, Gestione progetti personalizzati di assistenza in favore di disabili gravi e/o gravissimi, assistenza all'autonomia ed alla comunicazione scolastica e/o domiciliare,   Trasporto disabili;
C)	Target Minori e Famiglie: Assistenza Domiciliare, Centri di aggregazione giovanile, Servizi integrativi prima infanzia 0/3 anni (varie tipologie), Centri Pronta Accoglienza, Servizi per la famiglia ed  Educativa Domiciliare;
D)	Target Dipendenze, Immigrazione, Emarginazione e Nuova povertà: Assistenza Domiciliare, Servizio Inserimento Lavorativo, Centri Diurni, Centri di pronta accoglienza, Strutture di “ricovero notturno”, Servizi mensa. L’ambito territoriale di attuazione delle prestazioni de quo  è costituito dai Comuni facenti parte del  Distretto Socio-Sanitario n. 11 che comprende i Comuni di:
 San Cataldo
 Bompensiere
 Marianopoli
 Montedoro
 Milena
 Serradifalco                                                                                                                                                                                                                                                                                                                                                                                                                                                                                                                              L'iscrizione al Registro Unico Distrettuale non costituisce nessuna garanzia di accesso ai fondi e di svolgimento del servizio. 
L'avvio di un servizio, per i soggetti accreditati, è subordinato alle condizioni poste da un successivo specifico Avviso di Disponibilità; in tale avviso, a seconda delle specifiche caratteristiche del servizio, potranno essere richiesti ulteriori requisiti di qualificazione tecnica e professionale indispensabili per poter svolgere l'attività, nonché la presentazione dell’Allegato Q - “Requisiti di  Qualità”- con la descrizione precisa dei modelli organizzativi, di valutazione, ect ,  nonché le proposte migliorative offerte senza nessun onere aggiuntivo per il Distretto/Comune.  L'avvio effettivo del servizio è, inoltre, subordinato alla sottoscrizione del "Patto di Accreditamento” che definisce il rapporto economico-contrattuale delle parti,  le prestazioni da garantire e le modalità organizzative e gestionali per la rendicontazione dei voucher . La sottoscrizione del “Patto di Accreditamento” è vincolata dalla scelta da parte del beneficiario/referente familiare.                                                                                                                                                                                                                                                                                                                                                                                                                                                                                                                                                                                                                                                                                                                                                                                                                                                                                                                                                                                                                                                             </t>
  </si>
  <si>
    <t>La Commissione di valutazione  ha il compito di esaminare le istanze sia di nuova iscrizione  sia di rinnovo all’Albo Distrettuale e di verificare i requisiti organizzativi minimi e i requisiti di qualità soggettiva dei soggetti richiedenti.
La commissione è composta da: 
-	n° 2 funzionari dei Servizi Sociali dei Comuni del Distretto;
-	dal Dirigente del Comune Capofila del Distretto, in qualità di presidente e da un segretario verbalizzante;
La Commissione si riunisce per l’esame delle istanze, redigendo apposito verbale e l’elenco dei soggetti da accreditare. Il Dirigente del Comune capofila, con determina dirigenziale approva l’elenco.
 La Commissione svolge, altresì, funzioni di vigilanza e controllo rispetto:
	al mantenimento dei requisiti dei soggetti accreditati;
	alla sopravvenienza di condizioni e situazioni che costituiscono causa di esclusione;
	agli standard dei servizi e ai relativi obblighi specificati nel presente regolamento. 1.	                                                                                                                                                                                                                                                                                                                                                                              Il Registro Unico Distrettuale è un registro aperto, con la possibilità di presentare l’istanza  di accreditamento in ogni momento. Le domande, se idonee, saranno inserite nel RUD entro 30 giorni dalla presentazione;
2.	Agli organismi che hanno presentato domanda di accreditamento verrà data comunicazione dell’esito della procedura di iscrizione nell’elenco generale definitivo o del motivato diniego.
3.	Il RUD avrà durata annuale (gennaio/dicembre) e pertanto i soggetti già  accreditati per l’annualità successiva devono presentare autodichiarazione, di cui all’Allegato A bis,  di mantenimento dei requisiti di iscrizione al RUD entro il 30 gennaio di ogni anno;  
4.	Il R.U.D.  è approvato annualmente con Determina Dirigenziale del Responsabile dei Servizi Sociali del Comune capofila e pubblicato all'Albo Pretorio e nell’Area Trasparenza di tutti i Comuni ricadenti nel Distretto n. 11 di San Cataldo.
5.	Il R.U.D. potrà essere  sottoposto ad aggiornamento periodico nel caso in cui si verifichino nuove iscrizioni, che saranno ratificate con apposito atto dirigenziale;
6.	 L’accreditamento all’Albo Distrettuale   non dà automaticamente diritto alla realizzazione delle prestazioni socio assistenziali per le quali il Soggetto ha richiesto l’accreditamento ma vincolato a quanto esplicitato dall’Art. 13</t>
  </si>
  <si>
    <t xml:space="preserve">In fase di Elaborazione
</t>
  </si>
  <si>
    <t xml:space="preserve">In fase di elaborazione
</t>
  </si>
  <si>
    <t xml:space="preserve">Alaimo Anna Maria </t>
  </si>
  <si>
    <t>0934/511269</t>
  </si>
  <si>
    <t xml:space="preserve">Acquisto di n. 30 posti-utente per il Servizio di Asilo Nido in strutture private autorizzate al servizio secondo gli standard regionali e inserite nel catalogo dell’offerta distrettuale previsto dal “AVVISO PUBBLICO PER L’ISCRIZIONE AL REGISTRO UNICO DISTRETTUALE DEI SOGGETTI ACCREDITATI AD EROGARE PRESTAZIONI E SERVIZI PERSONALIZZATI PER MINORI, ADOLESCENTI, ANZIANI, DISABILI, ADULTI, FAMIGLIE E IMMIGRATI, NELL'AMBITO TERRITORIALE DEI COMUNI DEL DISTRETTO SOCIO SANITARIO N. 11” del distretto D11, gestite da enti del terzo settore. Gli enti gestori dovranno garantire, in osservanza a quanto previsto dal D.P.R.S. 16 maggio 2013 “Nuovi standards strutturali ed organizzativi per i servizi di prima infanzia”, la presenza dei seguenti operatori: n. 4 Educatori, n.3 Ausiliari. Costo mensile per bambino pari ad euro 677,31.
Il servizio dovrà essere attivo dalle 08,00 alle 14,00 (6 h/giorno) per 5 giorni alla settimana ( da lunedì a Venerdì)  per 11 mesi: Settembre/Dicembre  2023  Gennaio/Luglio 2024 . Nell’intervento viene previsto io pranzo.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</si>
</sst>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164" formatCode="&quot;€&quot;\ #,##0.00;[Red]\-&quot;€&quot;\ #,##0.00"/>
    <numFmt numFmtId="165" formatCode="#,##0.0000"/>
    <numFmt numFmtId="166" formatCode="0.00\ &quot;ore/sett/utente&quot;"/>
    <numFmt numFmtId="167" formatCode="0.00\ &quot;mesi di servizio&quot;"/>
    <numFmt numFmtId="168" formatCode="0\ &quot;ore di cordinamento&quot;"/>
    <numFmt numFmtId="169" formatCode="0.000"/>
    <numFmt numFmtId="170" formatCode="0\ &quot;gg&quot;"/>
    <numFmt numFmtId="171" formatCode="0\ &quot;hh&quot;"/>
    <numFmt numFmtId="172" formatCode="&quot;max &quot;0\ &quot;mesi&quot;"/>
    <numFmt numFmtId="173" formatCode="mmm\-yyyy"/>
    <numFmt numFmtId="174" formatCode="General;\ General;\ &quot;&quot;"/>
    <numFmt numFmtId="175" formatCode="&quot;€&quot;\ #,##0.00;&quot;€&quot;\ #,##0.00;&quot;&quot;"/>
    <numFmt numFmtId="176" formatCode="#,##0.00000"/>
  </numFmts>
  <fonts count="20" x14ac:knownFonts="1">
    <font>
      <sz val="11"/>
      <color theme="1"/>
      <name val="Calibri"/>
      <family val="2"/>
      <scheme val="minor"/>
    </font>
    <font>
      <sz val="8"/>
      <name val="Calibri"/>
      <family val="2"/>
    </font>
    <font>
      <sz val="10"/>
      <color indexed="8"/>
      <name val="Arial"/>
      <family val="2"/>
    </font>
    <font>
      <sz val="11"/>
      <color indexed="8"/>
      <name val="Calibri"/>
      <family val="2"/>
    </font>
    <font>
      <b/>
      <sz val="11"/>
      <color indexed="8"/>
      <name val="Calibri"/>
      <family val="2"/>
    </font>
    <font>
      <sz val="11"/>
      <color indexed="8"/>
      <name val="Calibri"/>
      <family val="2"/>
    </font>
    <font>
      <b/>
      <sz val="11"/>
      <color indexed="8"/>
      <name val="Calibri"/>
      <family val="2"/>
    </font>
    <font>
      <b/>
      <i/>
      <sz val="11"/>
      <color indexed="8"/>
      <name val="Calibri"/>
      <family val="2"/>
    </font>
    <font>
      <b/>
      <strike/>
      <sz val="11"/>
      <color indexed="8"/>
      <name val="Calibri"/>
      <family val="2"/>
    </font>
    <font>
      <i/>
      <sz val="11"/>
      <color indexed="8"/>
      <name val="Calibri"/>
      <family val="2"/>
    </font>
    <font>
      <sz val="11"/>
      <color rgb="FFFF0000"/>
      <name val="Calibri"/>
      <family val="2"/>
      <scheme val="minor"/>
    </font>
    <font>
      <b/>
      <sz val="11"/>
      <color theme="1"/>
      <name val="Calibri"/>
      <family val="2"/>
      <scheme val="minor"/>
    </font>
    <font>
      <i/>
      <sz val="11"/>
      <color theme="1"/>
      <name val="Calibri"/>
      <family val="2"/>
      <scheme val="minor"/>
    </font>
    <font>
      <strike/>
      <sz val="11"/>
      <color theme="1"/>
      <name val="Calibri"/>
      <family val="2"/>
      <scheme val="minor"/>
    </font>
    <font>
      <strike/>
      <sz val="11"/>
      <color rgb="FFFF0000"/>
      <name val="Calibri"/>
      <family val="2"/>
      <scheme val="minor"/>
    </font>
    <font>
      <sz val="9"/>
      <color indexed="0"/>
      <name val="Times New Roman"/>
      <family val="1"/>
    </font>
    <font>
      <sz val="9"/>
      <color indexed="0"/>
      <name val="Arial"/>
      <family val="2"/>
    </font>
    <font>
      <sz val="10"/>
      <name val="Arial"/>
      <family val="2"/>
    </font>
    <font>
      <sz val="8"/>
      <color indexed="0"/>
      <name val="Times New Roman"/>
      <family val="1"/>
    </font>
    <font>
      <sz val="11"/>
      <name val="Calibri"/>
      <family val="2"/>
      <scheme val="minor"/>
    </font>
  </fonts>
  <fills count="19">
    <fill>
      <patternFill patternType="none"/>
    </fill>
    <fill>
      <patternFill patternType="gray125"/>
    </fill>
    <fill>
      <patternFill patternType="solid">
        <fgColor indexed="49"/>
        <bgColor indexed="64"/>
      </patternFill>
    </fill>
    <fill>
      <patternFill patternType="solid">
        <fgColor indexed="13"/>
        <bgColor indexed="64"/>
      </patternFill>
    </fill>
    <fill>
      <patternFill patternType="solid">
        <fgColor indexed="40"/>
        <bgColor indexed="64"/>
      </patternFill>
    </fill>
    <fill>
      <patternFill patternType="solid">
        <fgColor indexed="55"/>
        <bgColor indexed="64"/>
      </patternFill>
    </fill>
    <fill>
      <patternFill patternType="solid">
        <fgColor indexed="9"/>
        <bgColor indexed="64"/>
      </patternFill>
    </fill>
    <fill>
      <patternFill patternType="solid">
        <fgColor indexed="51"/>
        <bgColor indexed="64"/>
      </patternFill>
    </fill>
    <fill>
      <patternFill patternType="solid">
        <fgColor theme="0" tint="-0.34998626667073579"/>
        <bgColor indexed="64"/>
      </patternFill>
    </fill>
    <fill>
      <patternFill patternType="solid">
        <fgColor theme="0"/>
        <bgColor indexed="64"/>
      </patternFill>
    </fill>
    <fill>
      <patternFill patternType="solid">
        <fgColor rgb="FFFFC000"/>
        <bgColor indexed="64"/>
      </patternFill>
    </fill>
    <fill>
      <patternFill patternType="solid">
        <fgColor theme="1"/>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5"/>
        <bgColor indexed="64"/>
      </patternFill>
    </fill>
  </fills>
  <borders count="48">
    <border>
      <left/>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5">
    <xf numFmtId="0" fontId="0" fillId="0" borderId="0"/>
    <xf numFmtId="0" fontId="2" fillId="0" borderId="0" applyNumberFormat="0" applyFont="0" applyFill="0" applyBorder="0" applyAlignment="0" applyProtection="0"/>
    <xf numFmtId="9" fontId="3" fillId="0" borderId="0" applyFont="0" applyFill="0" applyBorder="0" applyAlignment="0" applyProtection="0"/>
    <xf numFmtId="0" fontId="2" fillId="0" borderId="0" applyNumberFormat="0" applyFont="0" applyFill="0" applyBorder="0" applyAlignment="0" applyProtection="0"/>
    <xf numFmtId="0" fontId="17" fillId="0" borderId="0"/>
  </cellStyleXfs>
  <cellXfs count="424">
    <xf numFmtId="0" fontId="0" fillId="0" borderId="0" xfId="0"/>
    <xf numFmtId="4" fontId="0" fillId="0" borderId="0" xfId="0" applyNumberFormat="1"/>
    <xf numFmtId="4" fontId="0" fillId="2" borderId="0" xfId="0" applyNumberFormat="1" applyFill="1"/>
    <xf numFmtId="10" fontId="0" fillId="0" borderId="0" xfId="0" applyNumberFormat="1"/>
    <xf numFmtId="10" fontId="0" fillId="2" borderId="0" xfId="0" applyNumberFormat="1" applyFill="1"/>
    <xf numFmtId="0" fontId="0" fillId="0" borderId="1" xfId="0" applyBorder="1" applyAlignment="1">
      <alignment horizontal="center"/>
    </xf>
    <xf numFmtId="4" fontId="0" fillId="0" borderId="2" xfId="0" applyNumberFormat="1" applyBorder="1" applyAlignment="1">
      <alignment horizontal="center"/>
    </xf>
    <xf numFmtId="0" fontId="0" fillId="0" borderId="3" xfId="0"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0" fillId="0" borderId="0" xfId="0" applyAlignment="1">
      <alignment horizontal="center"/>
    </xf>
    <xf numFmtId="0" fontId="0" fillId="0" borderId="1" xfId="0" applyBorder="1"/>
    <xf numFmtId="4" fontId="0" fillId="0" borderId="5" xfId="0" applyNumberFormat="1" applyBorder="1"/>
    <xf numFmtId="4" fontId="0" fillId="0" borderId="3" xfId="0" applyNumberFormat="1" applyBorder="1"/>
    <xf numFmtId="4" fontId="0" fillId="0" borderId="4" xfId="0" applyNumberFormat="1" applyBorder="1"/>
    <xf numFmtId="4" fontId="0" fillId="0" borderId="5" xfId="0" applyNumberFormat="1" applyBorder="1" applyAlignment="1"/>
    <xf numFmtId="0" fontId="0" fillId="0" borderId="3" xfId="0" applyNumberFormat="1" applyBorder="1"/>
    <xf numFmtId="0" fontId="0" fillId="0" borderId="5" xfId="0" applyNumberFormat="1" applyBorder="1"/>
    <xf numFmtId="0" fontId="0" fillId="0" borderId="4" xfId="0" applyNumberFormat="1" applyBorder="1"/>
    <xf numFmtId="4" fontId="0" fillId="0" borderId="6" xfId="0" applyNumberFormat="1" applyBorder="1" applyAlignment="1"/>
    <xf numFmtId="0" fontId="0" fillId="0" borderId="0" xfId="0" applyAlignment="1"/>
    <xf numFmtId="0" fontId="0" fillId="0" borderId="6" xfId="0" applyBorder="1"/>
    <xf numFmtId="4" fontId="0" fillId="0" borderId="6" xfId="0" applyNumberFormat="1" applyBorder="1"/>
    <xf numFmtId="0" fontId="0" fillId="0" borderId="3" xfId="0" applyBorder="1"/>
    <xf numFmtId="0" fontId="0" fillId="0" borderId="5" xfId="0" applyBorder="1"/>
    <xf numFmtId="0" fontId="0" fillId="0" borderId="4" xfId="0" applyBorder="1"/>
    <xf numFmtId="4" fontId="0" fillId="0" borderId="3" xfId="0" applyNumberFormat="1" applyBorder="1" applyAlignment="1"/>
    <xf numFmtId="4" fontId="0" fillId="0" borderId="4" xfId="0" applyNumberFormat="1" applyBorder="1" applyAlignment="1"/>
    <xf numFmtId="0" fontId="0" fillId="0" borderId="5" xfId="0" applyBorder="1" applyAlignment="1"/>
    <xf numFmtId="0" fontId="0" fillId="0" borderId="3" xfId="0" applyBorder="1" applyAlignment="1"/>
    <xf numFmtId="0" fontId="0" fillId="0" borderId="4" xfId="0" applyBorder="1" applyAlignment="1"/>
    <xf numFmtId="0" fontId="4" fillId="0" borderId="1" xfId="0" applyFont="1" applyBorder="1"/>
    <xf numFmtId="4" fontId="4" fillId="3" borderId="7" xfId="2" applyNumberFormat="1" applyFont="1" applyFill="1" applyBorder="1"/>
    <xf numFmtId="4" fontId="4" fillId="0" borderId="7" xfId="2" applyNumberFormat="1" applyFont="1" applyBorder="1"/>
    <xf numFmtId="165" fontId="0" fillId="0" borderId="0" xfId="0" applyNumberFormat="1"/>
    <xf numFmtId="0" fontId="4" fillId="0" borderId="0" xfId="0" applyFont="1"/>
    <xf numFmtId="0" fontId="0" fillId="0" borderId="2" xfId="0" applyFont="1" applyBorder="1" applyAlignment="1">
      <alignment horizontal="center" vertical="center"/>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0" fillId="0" borderId="9" xfId="0"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wrapText="1"/>
    </xf>
    <xf numFmtId="0" fontId="0" fillId="0" borderId="12" xfId="0" applyFont="1" applyBorder="1" applyAlignment="1">
      <alignment horizontal="center" vertical="center"/>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5" xfId="0" applyFont="1" applyBorder="1"/>
    <xf numFmtId="4" fontId="5" fillId="0" borderId="7" xfId="3" applyNumberFormat="1" applyFont="1" applyBorder="1" applyAlignment="1">
      <alignment horizontal="left" vertical="top"/>
    </xf>
    <xf numFmtId="4" fontId="0" fillId="0" borderId="7" xfId="0" applyNumberFormat="1" applyFont="1" applyBorder="1"/>
    <xf numFmtId="4" fontId="0" fillId="0" borderId="1" xfId="0" applyNumberFormat="1" applyFont="1" applyBorder="1"/>
    <xf numFmtId="4" fontId="0" fillId="0" borderId="16" xfId="0" applyNumberFormat="1" applyFont="1" applyBorder="1"/>
    <xf numFmtId="4" fontId="0" fillId="0" borderId="5" xfId="0" applyNumberFormat="1" applyFont="1" applyBorder="1"/>
    <xf numFmtId="4" fontId="0" fillId="0" borderId="4" xfId="0" applyNumberFormat="1" applyFont="1" applyBorder="1"/>
    <xf numFmtId="0" fontId="0" fillId="0" borderId="17" xfId="0" applyFont="1" applyBorder="1"/>
    <xf numFmtId="4" fontId="5" fillId="0" borderId="18" xfId="3" applyNumberFormat="1" applyFont="1" applyBorder="1" applyAlignment="1">
      <alignment horizontal="left" vertical="top"/>
    </xf>
    <xf numFmtId="4" fontId="0" fillId="0" borderId="18" xfId="0" applyNumberFormat="1" applyFont="1" applyBorder="1"/>
    <xf numFmtId="4" fontId="0" fillId="0" borderId="19" xfId="0" applyNumberFormat="1" applyFont="1" applyBorder="1"/>
    <xf numFmtId="4" fontId="0" fillId="0" borderId="20" xfId="0" applyNumberFormat="1" applyFont="1" applyBorder="1"/>
    <xf numFmtId="4" fontId="0" fillId="0" borderId="17" xfId="0" applyNumberFormat="1" applyFont="1" applyBorder="1"/>
    <xf numFmtId="4" fontId="0" fillId="0" borderId="21" xfId="0" applyNumberFormat="1" applyFont="1" applyBorder="1"/>
    <xf numFmtId="0" fontId="4" fillId="0" borderId="22" xfId="0" applyFont="1" applyBorder="1"/>
    <xf numFmtId="4" fontId="6" fillId="0" borderId="23" xfId="3" applyNumberFormat="1" applyFont="1" applyBorder="1" applyAlignment="1">
      <alignment horizontal="left" vertical="top"/>
    </xf>
    <xf numFmtId="4" fontId="4" fillId="0" borderId="23" xfId="0" applyNumberFormat="1" applyFont="1" applyBorder="1"/>
    <xf numFmtId="4" fontId="4" fillId="0" borderId="24" xfId="0" applyNumberFormat="1" applyFont="1" applyBorder="1"/>
    <xf numFmtId="4" fontId="4" fillId="0" borderId="25" xfId="0" applyNumberFormat="1" applyFont="1" applyBorder="1"/>
    <xf numFmtId="4" fontId="4" fillId="0" borderId="22" xfId="0" applyNumberFormat="1" applyFont="1" applyBorder="1"/>
    <xf numFmtId="4" fontId="4" fillId="0" borderId="26" xfId="0" applyNumberFormat="1" applyFont="1" applyBorder="1"/>
    <xf numFmtId="0" fontId="0" fillId="0" borderId="6" xfId="0" applyFont="1" applyBorder="1"/>
    <xf numFmtId="4" fontId="5" fillId="0" borderId="27" xfId="3" applyNumberFormat="1" applyFont="1" applyBorder="1" applyAlignment="1">
      <alignment horizontal="left" vertical="top"/>
    </xf>
    <xf numFmtId="4" fontId="0" fillId="0" borderId="27" xfId="0" applyNumberFormat="1" applyFont="1" applyBorder="1"/>
    <xf numFmtId="4" fontId="0" fillId="0" borderId="28" xfId="0" applyNumberFormat="1" applyFont="1" applyBorder="1"/>
    <xf numFmtId="4" fontId="0" fillId="0" borderId="29" xfId="0" applyNumberFormat="1" applyFont="1" applyBorder="1"/>
    <xf numFmtId="4" fontId="0" fillId="0" borderId="6" xfId="0" applyNumberFormat="1" applyFont="1" applyBorder="1"/>
    <xf numFmtId="4" fontId="0" fillId="0" borderId="30" xfId="0" applyNumberFormat="1" applyFont="1" applyBorder="1"/>
    <xf numFmtId="0" fontId="0" fillId="0" borderId="12" xfId="0" applyFont="1" applyBorder="1"/>
    <xf numFmtId="4" fontId="5" fillId="0" borderId="14" xfId="3" applyNumberFormat="1" applyFont="1" applyBorder="1" applyAlignment="1">
      <alignment horizontal="left" vertical="top"/>
    </xf>
    <xf numFmtId="4" fontId="0" fillId="0" borderId="14" xfId="0" applyNumberFormat="1" applyFont="1" applyBorder="1"/>
    <xf numFmtId="4" fontId="0" fillId="0" borderId="31" xfId="0" applyNumberFormat="1" applyFont="1" applyBorder="1"/>
    <xf numFmtId="4" fontId="0" fillId="0" borderId="15" xfId="0" applyNumberFormat="1" applyFont="1" applyBorder="1"/>
    <xf numFmtId="4" fontId="0" fillId="0" borderId="12" xfId="0" applyNumberFormat="1" applyFont="1" applyBorder="1"/>
    <xf numFmtId="4" fontId="0" fillId="0" borderId="13" xfId="0" applyNumberFormat="1" applyFont="1" applyBorder="1"/>
    <xf numFmtId="0" fontId="0" fillId="0" borderId="32" xfId="0" applyFont="1" applyBorder="1"/>
    <xf numFmtId="4" fontId="5" fillId="0" borderId="4" xfId="3" applyNumberFormat="1" applyFont="1" applyBorder="1" applyAlignment="1">
      <alignment horizontal="left" vertical="top"/>
    </xf>
    <xf numFmtId="4" fontId="5" fillId="0" borderId="21" xfId="3" applyNumberFormat="1" applyFont="1" applyBorder="1" applyAlignment="1">
      <alignment horizontal="left" vertical="top"/>
    </xf>
    <xf numFmtId="4" fontId="6" fillId="0" borderId="26" xfId="3" applyNumberFormat="1" applyFont="1" applyBorder="1" applyAlignment="1">
      <alignment horizontal="left" vertical="top"/>
    </xf>
    <xf numFmtId="4" fontId="5" fillId="0" borderId="30" xfId="3" applyNumberFormat="1" applyFont="1" applyBorder="1" applyAlignment="1">
      <alignment horizontal="left" vertical="top"/>
    </xf>
    <xf numFmtId="4" fontId="5" fillId="0" borderId="13" xfId="3" applyNumberFormat="1" applyFont="1" applyBorder="1" applyAlignment="1">
      <alignment horizontal="left" vertical="top"/>
    </xf>
    <xf numFmtId="164" fontId="0" fillId="4" borderId="0" xfId="0" applyNumberFormat="1" applyFont="1" applyFill="1"/>
    <xf numFmtId="0" fontId="0" fillId="4" borderId="0" xfId="0" applyFont="1" applyFill="1"/>
    <xf numFmtId="0" fontId="0" fillId="5" borderId="0" xfId="0" applyFill="1"/>
    <xf numFmtId="10" fontId="0" fillId="5" borderId="0" xfId="0" applyNumberFormat="1" applyFill="1"/>
    <xf numFmtId="4" fontId="0" fillId="5" borderId="0" xfId="0" applyNumberFormat="1" applyFill="1"/>
    <xf numFmtId="9" fontId="0" fillId="5" borderId="0" xfId="0" applyNumberFormat="1" applyFill="1"/>
    <xf numFmtId="4" fontId="0" fillId="5" borderId="5" xfId="0" applyNumberFormat="1" applyFill="1" applyBorder="1"/>
    <xf numFmtId="4" fontId="0" fillId="5" borderId="3" xfId="0" applyNumberFormat="1" applyFill="1" applyBorder="1"/>
    <xf numFmtId="4" fontId="0" fillId="5" borderId="4" xfId="0" applyNumberFormat="1" applyFill="1" applyBorder="1"/>
    <xf numFmtId="0" fontId="0" fillId="0" borderId="0" xfId="0" applyAlignment="1">
      <alignment vertical="top"/>
    </xf>
    <xf numFmtId="0" fontId="0" fillId="5" borderId="0" xfId="0" applyFill="1" applyAlignment="1">
      <alignment vertical="top"/>
    </xf>
    <xf numFmtId="4" fontId="0" fillId="5" borderId="0" xfId="0" applyNumberFormat="1" applyFill="1" applyAlignment="1">
      <alignment vertical="top"/>
    </xf>
    <xf numFmtId="0" fontId="0" fillId="0" borderId="7" xfId="0" applyBorder="1" applyAlignment="1">
      <alignment vertical="top" wrapText="1"/>
    </xf>
    <xf numFmtId="0" fontId="0" fillId="0" borderId="7" xfId="0" applyBorder="1" applyAlignment="1">
      <alignment vertical="top"/>
    </xf>
    <xf numFmtId="9" fontId="0" fillId="0" borderId="7" xfId="0" applyNumberFormat="1" applyBorder="1" applyAlignment="1">
      <alignment vertical="top"/>
    </xf>
    <xf numFmtId="0" fontId="4" fillId="0" borderId="0" xfId="0" applyFont="1" applyAlignment="1">
      <alignment vertical="top"/>
    </xf>
    <xf numFmtId="0" fontId="0" fillId="0" borderId="0" xfId="0" applyBorder="1" applyAlignment="1">
      <alignment vertical="top"/>
    </xf>
    <xf numFmtId="166" fontId="0" fillId="0" borderId="0" xfId="0" applyNumberFormat="1" applyBorder="1" applyAlignment="1">
      <alignment vertical="top"/>
    </xf>
    <xf numFmtId="10" fontId="0" fillId="5" borderId="0" xfId="0" applyNumberFormat="1" applyFill="1" applyAlignment="1">
      <alignment vertical="top"/>
    </xf>
    <xf numFmtId="0" fontId="4" fillId="0" borderId="0" xfId="0" applyFont="1" applyBorder="1" applyAlignment="1">
      <alignment vertical="top"/>
    </xf>
    <xf numFmtId="0" fontId="0" fillId="0" borderId="19" xfId="0" applyBorder="1"/>
    <xf numFmtId="0" fontId="0" fillId="0" borderId="21" xfId="0" applyBorder="1"/>
    <xf numFmtId="0" fontId="0" fillId="0" borderId="28" xfId="0" applyBorder="1"/>
    <xf numFmtId="0" fontId="0" fillId="0" borderId="30" xfId="0" applyBorder="1"/>
    <xf numFmtId="0" fontId="0" fillId="0" borderId="31" xfId="0" applyBorder="1"/>
    <xf numFmtId="0" fontId="0" fillId="0" borderId="13" xfId="0" applyBorder="1"/>
    <xf numFmtId="0" fontId="4" fillId="0" borderId="7" xfId="0" applyFont="1" applyBorder="1" applyAlignment="1">
      <alignment vertical="top"/>
    </xf>
    <xf numFmtId="164" fontId="0" fillId="0" borderId="7" xfId="0" applyNumberFormat="1" applyBorder="1" applyAlignment="1">
      <alignment vertical="top"/>
    </xf>
    <xf numFmtId="4" fontId="0" fillId="0" borderId="7" xfId="0" applyNumberFormat="1" applyBorder="1" applyAlignment="1">
      <alignment vertical="top"/>
    </xf>
    <xf numFmtId="164" fontId="4" fillId="0" borderId="7" xfId="0" applyNumberFormat="1" applyFont="1" applyBorder="1" applyAlignment="1">
      <alignment vertical="top"/>
    </xf>
    <xf numFmtId="164" fontId="4" fillId="0" borderId="0" xfId="0" applyNumberFormat="1" applyFont="1" applyBorder="1" applyAlignment="1">
      <alignment vertical="top"/>
    </xf>
    <xf numFmtId="0" fontId="4" fillId="0" borderId="7" xfId="0" applyFont="1" applyBorder="1" applyAlignment="1">
      <alignment horizontal="center" vertical="top"/>
    </xf>
    <xf numFmtId="0" fontId="4" fillId="0" borderId="1" xfId="0" applyFont="1" applyBorder="1" applyAlignment="1">
      <alignment horizontal="center" vertical="top"/>
    </xf>
    <xf numFmtId="0" fontId="0" fillId="0" borderId="0" xfId="0" applyAlignment="1">
      <alignment vertical="top" wrapText="1"/>
    </xf>
    <xf numFmtId="0" fontId="4" fillId="0" borderId="0" xfId="0" applyFont="1" applyAlignment="1">
      <alignment vertical="top" wrapText="1"/>
    </xf>
    <xf numFmtId="0" fontId="0" fillId="0" borderId="3" xfId="0" applyBorder="1" applyAlignment="1">
      <alignment horizontal="left"/>
    </xf>
    <xf numFmtId="0" fontId="0" fillId="0" borderId="0" xfId="0" applyBorder="1" applyAlignment="1">
      <alignment horizontal="left"/>
    </xf>
    <xf numFmtId="168" fontId="0" fillId="6" borderId="4" xfId="0" applyNumberFormat="1" applyFill="1" applyBorder="1" applyAlignment="1">
      <alignment vertical="top"/>
    </xf>
    <xf numFmtId="0" fontId="0" fillId="8" borderId="0" xfId="0" applyFill="1" applyAlignment="1">
      <alignment vertical="top"/>
    </xf>
    <xf numFmtId="4" fontId="0" fillId="8" borderId="0" xfId="0" applyNumberFormat="1" applyFill="1" applyAlignment="1">
      <alignment vertical="top"/>
    </xf>
    <xf numFmtId="0" fontId="11" fillId="8" borderId="0" xfId="0" applyFont="1" applyFill="1" applyAlignment="1">
      <alignment vertical="top" wrapText="1"/>
    </xf>
    <xf numFmtId="0" fontId="11" fillId="8" borderId="7" xfId="0" applyFont="1" applyFill="1" applyBorder="1" applyAlignment="1">
      <alignment vertical="top" wrapText="1"/>
    </xf>
    <xf numFmtId="4" fontId="0" fillId="8" borderId="7" xfId="0" applyNumberFormat="1" applyFill="1" applyBorder="1" applyAlignment="1">
      <alignment vertical="top"/>
    </xf>
    <xf numFmtId="0" fontId="0" fillId="8" borderId="7" xfId="0" applyFill="1" applyBorder="1" applyAlignment="1">
      <alignment vertical="top"/>
    </xf>
    <xf numFmtId="9" fontId="0" fillId="8" borderId="7" xfId="0" applyNumberFormat="1" applyFill="1" applyBorder="1" applyAlignment="1">
      <alignment vertical="top"/>
    </xf>
    <xf numFmtId="0" fontId="0" fillId="0" borderId="0" xfId="0" quotePrefix="1" applyAlignment="1">
      <alignment vertical="top"/>
    </xf>
    <xf numFmtId="0" fontId="0" fillId="0" borderId="1" xfId="0" applyBorder="1" applyAlignment="1">
      <alignment vertical="top"/>
    </xf>
    <xf numFmtId="0" fontId="12" fillId="0" borderId="0" xfId="0" applyFont="1" applyBorder="1" applyAlignment="1">
      <alignment vertical="top"/>
    </xf>
    <xf numFmtId="0" fontId="0" fillId="0" borderId="33" xfId="0" applyBorder="1" applyAlignment="1">
      <alignment vertical="top"/>
    </xf>
    <xf numFmtId="0" fontId="0" fillId="0" borderId="16" xfId="0" applyBorder="1" applyAlignment="1">
      <alignment vertical="top"/>
    </xf>
    <xf numFmtId="0" fontId="11" fillId="0" borderId="7" xfId="0" applyFont="1" applyBorder="1" applyAlignment="1">
      <alignment vertical="top"/>
    </xf>
    <xf numFmtId="169" fontId="0" fillId="8" borderId="7" xfId="0" applyNumberFormat="1" applyFill="1" applyBorder="1" applyAlignment="1">
      <alignment vertical="top"/>
    </xf>
    <xf numFmtId="0" fontId="11" fillId="0" borderId="33" xfId="0" applyFont="1" applyBorder="1" applyAlignment="1">
      <alignment vertical="top"/>
    </xf>
    <xf numFmtId="0" fontId="10" fillId="0" borderId="4" xfId="0" applyFont="1" applyBorder="1" applyAlignment="1">
      <alignment vertical="top" wrapText="1"/>
    </xf>
    <xf numFmtId="170" fontId="0" fillId="8" borderId="7" xfId="0" applyNumberFormat="1" applyFill="1" applyBorder="1" applyAlignment="1">
      <alignment vertical="top"/>
    </xf>
    <xf numFmtId="171" fontId="0" fillId="8" borderId="7" xfId="0" applyNumberFormat="1" applyFill="1" applyBorder="1" applyAlignment="1">
      <alignment vertical="top"/>
    </xf>
    <xf numFmtId="0" fontId="0" fillId="0" borderId="7" xfId="0" applyBorder="1" applyAlignment="1">
      <alignment horizontal="center" vertical="top"/>
    </xf>
    <xf numFmtId="0" fontId="4" fillId="0" borderId="34" xfId="0" applyFont="1" applyBorder="1" applyAlignment="1">
      <alignment horizontal="center" vertical="top"/>
    </xf>
    <xf numFmtId="0" fontId="11" fillId="5" borderId="0" xfId="0" applyFont="1" applyFill="1" applyAlignment="1">
      <alignment vertical="top"/>
    </xf>
    <xf numFmtId="164" fontId="11" fillId="0" borderId="0" xfId="0" applyNumberFormat="1" applyFont="1" applyBorder="1" applyAlignment="1">
      <alignment vertical="top"/>
    </xf>
    <xf numFmtId="0" fontId="13" fillId="0" borderId="7" xfId="0" applyFont="1" applyBorder="1" applyAlignment="1">
      <alignment vertical="top" wrapText="1"/>
    </xf>
    <xf numFmtId="0" fontId="14" fillId="0" borderId="7" xfId="0" applyFont="1" applyBorder="1" applyAlignment="1">
      <alignment vertical="top" wrapText="1"/>
    </xf>
    <xf numFmtId="0" fontId="0" fillId="0" borderId="0" xfId="0" applyAlignment="1">
      <alignment horizontal="left" vertical="top" wrapText="1"/>
    </xf>
    <xf numFmtId="0" fontId="0" fillId="0" borderId="0" xfId="0" applyAlignment="1">
      <alignment horizontal="center"/>
    </xf>
    <xf numFmtId="0" fontId="0" fillId="0" borderId="0" xfId="0" applyBorder="1" applyAlignment="1"/>
    <xf numFmtId="0" fontId="11" fillId="0" borderId="3" xfId="0" applyFont="1" applyBorder="1" applyAlignment="1">
      <alignment horizontal="center" vertical="top"/>
    </xf>
    <xf numFmtId="167" fontId="0" fillId="0" borderId="3" xfId="0" applyNumberFormat="1" applyBorder="1" applyAlignment="1">
      <alignment vertical="top"/>
    </xf>
    <xf numFmtId="164" fontId="11" fillId="0" borderId="0" xfId="0" applyNumberFormat="1" applyFont="1" applyAlignment="1">
      <alignment vertical="top"/>
    </xf>
    <xf numFmtId="0" fontId="0" fillId="0" borderId="7" xfId="0" applyBorder="1" applyAlignment="1"/>
    <xf numFmtId="0" fontId="0" fillId="0" borderId="7" xfId="0" applyBorder="1" applyAlignment="1">
      <alignment wrapText="1"/>
    </xf>
    <xf numFmtId="0" fontId="0" fillId="0" borderId="0" xfId="0" applyFill="1" applyAlignment="1">
      <alignment horizontal="center"/>
    </xf>
    <xf numFmtId="0" fontId="0" fillId="0" borderId="0" xfId="0" applyAlignment="1">
      <alignment horizontal="center"/>
    </xf>
    <xf numFmtId="0" fontId="11" fillId="0" borderId="0" xfId="0" applyFont="1" applyBorder="1" applyAlignment="1">
      <alignment vertical="top"/>
    </xf>
    <xf numFmtId="0" fontId="0" fillId="0" borderId="0" xfId="0" applyFill="1" applyBorder="1" applyAlignment="1">
      <alignment horizontal="center"/>
    </xf>
    <xf numFmtId="0" fontId="12" fillId="0" borderId="0" xfId="0" applyFont="1" applyFill="1" applyBorder="1" applyAlignment="1">
      <alignment horizontal="center"/>
    </xf>
    <xf numFmtId="0" fontId="13" fillId="0" borderId="7" xfId="0" applyFont="1" applyBorder="1" applyAlignment="1">
      <alignment vertical="top"/>
    </xf>
    <xf numFmtId="9" fontId="13" fillId="9" borderId="7" xfId="0" applyNumberFormat="1" applyFont="1" applyFill="1" applyBorder="1" applyAlignment="1">
      <alignment vertical="top"/>
    </xf>
    <xf numFmtId="0" fontId="0" fillId="0" borderId="7" xfId="0" applyBorder="1"/>
    <xf numFmtId="0" fontId="0" fillId="0" borderId="33" xfId="0" applyBorder="1"/>
    <xf numFmtId="0" fontId="0" fillId="0" borderId="16" xfId="0" applyBorder="1"/>
    <xf numFmtId="0" fontId="0" fillId="9" borderId="4" xfId="0" applyFill="1" applyBorder="1" applyAlignment="1">
      <alignment vertical="top" wrapText="1"/>
    </xf>
    <xf numFmtId="0" fontId="0" fillId="0" borderId="7" xfId="0" applyFont="1" applyBorder="1" applyAlignment="1">
      <alignment vertical="top" wrapText="1"/>
    </xf>
    <xf numFmtId="0" fontId="11" fillId="0" borderId="0" xfId="0" applyFont="1" applyAlignment="1">
      <alignment vertical="top"/>
    </xf>
    <xf numFmtId="0" fontId="0" fillId="0" borderId="0" xfId="0" applyBorder="1"/>
    <xf numFmtId="0" fontId="12" fillId="0" borderId="7" xfId="0" applyFont="1" applyBorder="1" applyAlignment="1">
      <alignment horizontal="right" vertical="top"/>
    </xf>
    <xf numFmtId="0" fontId="10" fillId="0" borderId="0" xfId="0" applyFont="1" applyAlignment="1">
      <alignment vertical="top"/>
    </xf>
    <xf numFmtId="0" fontId="0" fillId="0" borderId="2" xfId="0" applyBorder="1" applyAlignment="1">
      <alignment vertical="top"/>
    </xf>
    <xf numFmtId="0" fontId="0" fillId="0" borderId="35" xfId="0" applyBorder="1" applyAlignment="1">
      <alignment vertical="top"/>
    </xf>
    <xf numFmtId="0" fontId="11" fillId="0" borderId="2" xfId="0" applyFont="1" applyBorder="1" applyAlignment="1">
      <alignment vertical="top"/>
    </xf>
    <xf numFmtId="0" fontId="0" fillId="9" borderId="35" xfId="0" applyFill="1" applyBorder="1" applyAlignment="1">
      <alignment vertical="top"/>
    </xf>
    <xf numFmtId="0" fontId="4" fillId="0" borderId="0" xfId="0" applyFont="1" applyBorder="1" applyAlignment="1">
      <alignment horizontal="center" vertical="top"/>
    </xf>
    <xf numFmtId="164" fontId="0" fillId="0" borderId="0" xfId="0" applyNumberFormat="1" applyBorder="1" applyAlignment="1">
      <alignment vertical="top"/>
    </xf>
    <xf numFmtId="0" fontId="0" fillId="7" borderId="4" xfId="0" applyFill="1" applyBorder="1" applyAlignment="1" applyProtection="1">
      <alignment vertical="top"/>
      <protection locked="0"/>
    </xf>
    <xf numFmtId="0" fontId="0" fillId="10" borderId="7" xfId="0" applyFill="1" applyBorder="1" applyAlignment="1" applyProtection="1">
      <alignment vertical="top"/>
      <protection locked="0"/>
    </xf>
    <xf numFmtId="0" fontId="0" fillId="7" borderId="7" xfId="0" applyFill="1" applyBorder="1" applyAlignment="1" applyProtection="1">
      <alignment vertical="top"/>
      <protection locked="0"/>
    </xf>
    <xf numFmtId="0" fontId="0" fillId="7" borderId="4" xfId="0" applyFill="1" applyBorder="1" applyAlignment="1" applyProtection="1">
      <alignment vertical="top" wrapText="1"/>
      <protection locked="0"/>
    </xf>
    <xf numFmtId="0" fontId="0" fillId="10" borderId="33" xfId="0" applyFill="1" applyBorder="1" applyAlignment="1" applyProtection="1">
      <alignment vertical="top"/>
      <protection locked="0"/>
    </xf>
    <xf numFmtId="0" fontId="0" fillId="11" borderId="7" xfId="0" applyFill="1" applyBorder="1" applyAlignment="1" applyProtection="1">
      <alignment vertical="top"/>
      <protection locked="0"/>
    </xf>
    <xf numFmtId="0" fontId="0" fillId="11" borderId="16" xfId="0" applyFill="1" applyBorder="1" applyAlignment="1" applyProtection="1">
      <alignment vertical="top"/>
      <protection locked="0"/>
    </xf>
    <xf numFmtId="0" fontId="0" fillId="10" borderId="1" xfId="0" applyFill="1" applyBorder="1" applyAlignment="1" applyProtection="1">
      <alignment vertical="top"/>
      <protection locked="0"/>
    </xf>
    <xf numFmtId="164" fontId="0" fillId="10" borderId="7" xfId="0" applyNumberFormat="1" applyFill="1" applyBorder="1" applyAlignment="1" applyProtection="1">
      <alignment vertical="top"/>
      <protection locked="0"/>
    </xf>
    <xf numFmtId="0" fontId="0" fillId="10" borderId="16" xfId="0" applyFill="1" applyBorder="1" applyAlignment="1" applyProtection="1">
      <alignment vertical="top"/>
      <protection locked="0"/>
    </xf>
    <xf numFmtId="0" fontId="0" fillId="10" borderId="35" xfId="0" applyFill="1" applyBorder="1" applyAlignment="1" applyProtection="1">
      <alignment vertical="top"/>
      <protection locked="0"/>
    </xf>
    <xf numFmtId="164" fontId="0" fillId="10" borderId="35" xfId="0" applyNumberFormat="1" applyFill="1" applyBorder="1" applyAlignment="1" applyProtection="1">
      <alignment vertical="top"/>
      <protection locked="0"/>
    </xf>
    <xf numFmtId="0" fontId="0" fillId="7" borderId="4" xfId="0" applyFill="1" applyBorder="1" applyAlignment="1" applyProtection="1">
      <alignment horizontal="center" vertical="top"/>
      <protection locked="0"/>
    </xf>
    <xf numFmtId="10" fontId="0" fillId="10" borderId="3" xfId="0" applyNumberFormat="1" applyFill="1" applyBorder="1" applyAlignment="1" applyProtection="1">
      <alignment vertical="top"/>
      <protection locked="0"/>
    </xf>
    <xf numFmtId="9" fontId="0" fillId="7" borderId="4" xfId="0" applyNumberFormat="1" applyFill="1" applyBorder="1" applyAlignment="1" applyProtection="1">
      <alignment horizontal="center" vertical="top"/>
      <protection locked="0"/>
    </xf>
    <xf numFmtId="9" fontId="0" fillId="7" borderId="7" xfId="0" applyNumberFormat="1" applyFont="1" applyFill="1" applyBorder="1" applyAlignment="1" applyProtection="1">
      <alignment vertical="top"/>
      <protection locked="0"/>
    </xf>
    <xf numFmtId="9" fontId="0" fillId="7" borderId="4" xfId="0" applyNumberFormat="1" applyFill="1" applyBorder="1" applyAlignment="1" applyProtection="1">
      <alignment vertical="top"/>
      <protection locked="0"/>
    </xf>
    <xf numFmtId="164" fontId="13" fillId="9" borderId="7" xfId="0" applyNumberFormat="1" applyFont="1" applyFill="1" applyBorder="1" applyAlignment="1" applyProtection="1">
      <alignment vertical="top"/>
      <protection locked="0"/>
    </xf>
    <xf numFmtId="0" fontId="0" fillId="12" borderId="36" xfId="0" applyFill="1" applyBorder="1"/>
    <xf numFmtId="0" fontId="0" fillId="12" borderId="37" xfId="0" applyFill="1" applyBorder="1"/>
    <xf numFmtId="0" fontId="0" fillId="12" borderId="38" xfId="0" applyFill="1" applyBorder="1"/>
    <xf numFmtId="0" fontId="0" fillId="13" borderId="0" xfId="0" applyFill="1" applyAlignment="1">
      <alignment vertical="top"/>
    </xf>
    <xf numFmtId="0" fontId="4" fillId="13" borderId="0" xfId="0" applyFont="1" applyFill="1" applyAlignment="1">
      <alignment vertical="top"/>
    </xf>
    <xf numFmtId="0" fontId="11" fillId="13" borderId="0" xfId="0" applyFont="1" applyFill="1" applyAlignment="1">
      <alignment vertical="top" wrapText="1"/>
    </xf>
    <xf numFmtId="0" fontId="0" fillId="13" borderId="0" xfId="0" applyFill="1" applyAlignment="1">
      <alignment vertical="top" wrapText="1"/>
    </xf>
    <xf numFmtId="0" fontId="4" fillId="13" borderId="0" xfId="0" applyFont="1" applyFill="1" applyAlignment="1">
      <alignment vertical="top" wrapText="1"/>
    </xf>
    <xf numFmtId="164" fontId="0" fillId="13" borderId="0" xfId="0" applyNumberFormat="1" applyFill="1" applyAlignment="1">
      <alignment vertical="top" wrapText="1"/>
    </xf>
    <xf numFmtId="0" fontId="0" fillId="13" borderId="0" xfId="0" applyFill="1" applyAlignment="1">
      <alignment wrapText="1"/>
    </xf>
    <xf numFmtId="173" fontId="0" fillId="10" borderId="7" xfId="0" applyNumberFormat="1" applyFill="1" applyBorder="1" applyAlignment="1" applyProtection="1">
      <protection locked="0"/>
    </xf>
    <xf numFmtId="0" fontId="0" fillId="10" borderId="7" xfId="0" applyFill="1" applyBorder="1" applyAlignment="1" applyProtection="1">
      <alignment vertical="top" wrapText="1"/>
      <protection locked="0"/>
    </xf>
    <xf numFmtId="164" fontId="13" fillId="9" borderId="7" xfId="0" applyNumberFormat="1" applyFont="1" applyFill="1" applyBorder="1" applyAlignment="1" applyProtection="1">
      <alignment vertical="top" wrapText="1"/>
      <protection locked="0"/>
    </xf>
    <xf numFmtId="164" fontId="0" fillId="0" borderId="36" xfId="0" applyNumberFormat="1" applyFill="1" applyBorder="1" applyAlignment="1">
      <alignment vertical="top"/>
    </xf>
    <xf numFmtId="164" fontId="0" fillId="0" borderId="39" xfId="0" applyNumberFormat="1" applyFill="1" applyBorder="1" applyAlignment="1">
      <alignment vertical="top"/>
    </xf>
    <xf numFmtId="164" fontId="11" fillId="0" borderId="14" xfId="0" applyNumberFormat="1" applyFont="1" applyBorder="1" applyAlignment="1">
      <alignment vertical="top"/>
    </xf>
    <xf numFmtId="167" fontId="0" fillId="10" borderId="36" xfId="0" applyNumberFormat="1" applyFill="1" applyBorder="1" applyAlignment="1" applyProtection="1">
      <alignment vertical="top"/>
      <protection locked="0"/>
    </xf>
    <xf numFmtId="167" fontId="0" fillId="10" borderId="39" xfId="0" applyNumberFormat="1" applyFill="1" applyBorder="1" applyAlignment="1" applyProtection="1">
      <alignment vertical="top"/>
      <protection locked="0"/>
    </xf>
    <xf numFmtId="167" fontId="0" fillId="10" borderId="37" xfId="0" applyNumberFormat="1" applyFill="1" applyBorder="1" applyAlignment="1" applyProtection="1">
      <alignment vertical="top"/>
      <protection locked="0"/>
    </xf>
    <xf numFmtId="164" fontId="0" fillId="0" borderId="37" xfId="0" applyNumberFormat="1" applyFill="1" applyBorder="1" applyAlignment="1">
      <alignment vertical="top"/>
    </xf>
    <xf numFmtId="0" fontId="0" fillId="0" borderId="47" xfId="0" applyBorder="1"/>
    <xf numFmtId="164" fontId="0" fillId="14" borderId="35" xfId="0" applyNumberFormat="1" applyFill="1" applyBorder="1"/>
    <xf numFmtId="0" fontId="11" fillId="8" borderId="0" xfId="0" applyFont="1" applyFill="1" applyBorder="1" applyAlignment="1">
      <alignment vertical="top" wrapText="1"/>
    </xf>
    <xf numFmtId="170" fontId="0" fillId="8" borderId="0" xfId="0" applyNumberFormat="1" applyFill="1" applyBorder="1" applyAlignment="1">
      <alignment vertical="top"/>
    </xf>
    <xf numFmtId="0" fontId="11" fillId="0" borderId="40" xfId="0" applyFont="1" applyBorder="1" applyAlignment="1">
      <alignment vertical="top"/>
    </xf>
    <xf numFmtId="4" fontId="0" fillId="9" borderId="11" xfId="0" applyNumberFormat="1" applyFill="1" applyBorder="1" applyAlignment="1">
      <alignment vertical="top"/>
    </xf>
    <xf numFmtId="0" fontId="11" fillId="0" borderId="36" xfId="0" applyFont="1" applyBorder="1" applyAlignment="1">
      <alignment vertical="top"/>
    </xf>
    <xf numFmtId="0" fontId="0" fillId="0" borderId="39" xfId="0" applyBorder="1" applyAlignment="1">
      <alignment vertical="top"/>
    </xf>
    <xf numFmtId="0" fontId="0" fillId="15" borderId="33" xfId="0" applyFill="1" applyBorder="1" applyProtection="1">
      <protection locked="0"/>
    </xf>
    <xf numFmtId="0" fontId="0" fillId="15" borderId="7" xfId="0" applyFill="1" applyBorder="1" applyProtection="1">
      <protection locked="0"/>
    </xf>
    <xf numFmtId="0" fontId="0" fillId="15" borderId="16" xfId="0" applyFill="1" applyBorder="1" applyProtection="1">
      <protection locked="0"/>
    </xf>
    <xf numFmtId="164" fontId="0" fillId="15" borderId="33" xfId="0" applyNumberFormat="1" applyFill="1" applyBorder="1" applyProtection="1">
      <protection locked="0"/>
    </xf>
    <xf numFmtId="164" fontId="0" fillId="15" borderId="7" xfId="0" applyNumberFormat="1" applyFill="1" applyBorder="1" applyProtection="1">
      <protection locked="0"/>
    </xf>
    <xf numFmtId="164" fontId="0" fillId="15" borderId="16" xfId="0" applyNumberFormat="1" applyFill="1" applyBorder="1" applyProtection="1">
      <protection locked="0"/>
    </xf>
    <xf numFmtId="0" fontId="0" fillId="0" borderId="1"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0" fillId="16" borderId="0" xfId="0" applyFill="1" applyAlignment="1">
      <alignment vertical="top"/>
    </xf>
    <xf numFmtId="0" fontId="0" fillId="7" borderId="7" xfId="0" applyFill="1" applyBorder="1" applyAlignment="1" applyProtection="1">
      <alignment vertical="top" wrapText="1"/>
      <protection locked="0"/>
    </xf>
    <xf numFmtId="0" fontId="0" fillId="16" borderId="0" xfId="0" applyFont="1" applyFill="1" applyBorder="1" applyAlignment="1">
      <alignment horizontal="center" vertical="center" wrapText="1"/>
    </xf>
    <xf numFmtId="4" fontId="3" fillId="0" borderId="4" xfId="3" applyNumberFormat="1" applyFont="1" applyBorder="1" applyAlignment="1">
      <alignment horizontal="left" vertical="top"/>
    </xf>
    <xf numFmtId="4" fontId="3" fillId="0" borderId="7" xfId="3" applyNumberFormat="1" applyFont="1" applyBorder="1" applyAlignment="1">
      <alignment horizontal="left" vertical="top"/>
    </xf>
    <xf numFmtId="0" fontId="15" fillId="16" borderId="0" xfId="0" applyFont="1" applyFill="1" applyAlignment="1"/>
    <xf numFmtId="4" fontId="16" fillId="16" borderId="0" xfId="0" applyNumberFormat="1" applyFont="1" applyFill="1" applyAlignment="1"/>
    <xf numFmtId="0" fontId="0" fillId="16" borderId="0" xfId="0" applyFill="1"/>
    <xf numFmtId="4" fontId="3" fillId="0" borderId="21" xfId="3" applyNumberFormat="1" applyFont="1" applyBorder="1" applyAlignment="1">
      <alignment horizontal="left" vertical="top"/>
    </xf>
    <xf numFmtId="4" fontId="3" fillId="0" borderId="18" xfId="3" applyNumberFormat="1" applyFont="1" applyBorder="1" applyAlignment="1">
      <alignment horizontal="left" vertical="top"/>
    </xf>
    <xf numFmtId="4" fontId="4" fillId="0" borderId="26" xfId="3" applyNumberFormat="1" applyFont="1" applyBorder="1" applyAlignment="1">
      <alignment horizontal="left" vertical="top"/>
    </xf>
    <xf numFmtId="4" fontId="4" fillId="0" borderId="23" xfId="3" applyNumberFormat="1" applyFont="1" applyBorder="1" applyAlignment="1">
      <alignment horizontal="left" vertical="top"/>
    </xf>
    <xf numFmtId="4" fontId="3" fillId="0" borderId="30" xfId="3" applyNumberFormat="1" applyFont="1" applyBorder="1" applyAlignment="1">
      <alignment horizontal="left" vertical="top"/>
    </xf>
    <xf numFmtId="4" fontId="3" fillId="0" borderId="27" xfId="3" applyNumberFormat="1" applyFont="1" applyBorder="1" applyAlignment="1">
      <alignment horizontal="left" vertical="top"/>
    </xf>
    <xf numFmtId="4" fontId="3" fillId="0" borderId="13" xfId="3" applyNumberFormat="1" applyFont="1" applyBorder="1" applyAlignment="1">
      <alignment horizontal="left" vertical="top"/>
    </xf>
    <xf numFmtId="4" fontId="3" fillId="0" borderId="14" xfId="3" applyNumberFormat="1" applyFont="1" applyBorder="1" applyAlignment="1">
      <alignment horizontal="left" vertical="top"/>
    </xf>
    <xf numFmtId="0" fontId="0" fillId="9" borderId="5" xfId="0" applyFont="1" applyFill="1" applyBorder="1"/>
    <xf numFmtId="4" fontId="3" fillId="9" borderId="4" xfId="3" applyNumberFormat="1" applyFont="1" applyFill="1" applyBorder="1" applyAlignment="1">
      <alignment horizontal="left" vertical="top"/>
    </xf>
    <xf numFmtId="4" fontId="3" fillId="9" borderId="7" xfId="3" applyNumberFormat="1" applyFont="1" applyFill="1" applyBorder="1" applyAlignment="1">
      <alignment horizontal="left" vertical="top"/>
    </xf>
    <xf numFmtId="4" fontId="0" fillId="9" borderId="7" xfId="0" applyNumberFormat="1" applyFont="1" applyFill="1" applyBorder="1"/>
    <xf numFmtId="4" fontId="0" fillId="9" borderId="1" xfId="0" applyNumberFormat="1" applyFont="1" applyFill="1" applyBorder="1"/>
    <xf numFmtId="4" fontId="0" fillId="9" borderId="16" xfId="0" applyNumberFormat="1" applyFont="1" applyFill="1" applyBorder="1"/>
    <xf numFmtId="4" fontId="0" fillId="9" borderId="5" xfId="0" applyNumberFormat="1" applyFont="1" applyFill="1" applyBorder="1"/>
    <xf numFmtId="4" fontId="0" fillId="9" borderId="4" xfId="0" applyNumberFormat="1" applyFont="1" applyFill="1" applyBorder="1"/>
    <xf numFmtId="0" fontId="0" fillId="9" borderId="17" xfId="0" applyFont="1" applyFill="1" applyBorder="1"/>
    <xf numFmtId="4" fontId="3" fillId="9" borderId="21" xfId="3" applyNumberFormat="1" applyFont="1" applyFill="1" applyBorder="1" applyAlignment="1">
      <alignment horizontal="left" vertical="top"/>
    </xf>
    <xf numFmtId="4" fontId="3" fillId="9" borderId="18" xfId="3" applyNumberFormat="1" applyFont="1" applyFill="1" applyBorder="1" applyAlignment="1">
      <alignment horizontal="left" vertical="top"/>
    </xf>
    <xf numFmtId="4" fontId="0" fillId="9" borderId="18" xfId="0" applyNumberFormat="1" applyFont="1" applyFill="1" applyBorder="1"/>
    <xf numFmtId="4" fontId="0" fillId="9" borderId="19" xfId="0" applyNumberFormat="1" applyFont="1" applyFill="1" applyBorder="1"/>
    <xf numFmtId="4" fontId="0" fillId="9" borderId="20" xfId="0" applyNumberFormat="1" applyFont="1" applyFill="1" applyBorder="1"/>
    <xf numFmtId="4" fontId="0" fillId="9" borderId="17" xfId="0" applyNumberFormat="1" applyFont="1" applyFill="1" applyBorder="1"/>
    <xf numFmtId="4" fontId="0" fillId="9" borderId="21" xfId="0" applyNumberFormat="1" applyFont="1" applyFill="1" applyBorder="1"/>
    <xf numFmtId="0" fontId="4" fillId="9" borderId="22" xfId="0" applyFont="1" applyFill="1" applyBorder="1"/>
    <xf numFmtId="4" fontId="4" fillId="9" borderId="26" xfId="3" applyNumberFormat="1" applyFont="1" applyFill="1" applyBorder="1" applyAlignment="1">
      <alignment horizontal="left" vertical="top"/>
    </xf>
    <xf numFmtId="4" fontId="4" fillId="9" borderId="23" xfId="3" applyNumberFormat="1" applyFont="1" applyFill="1" applyBorder="1" applyAlignment="1">
      <alignment horizontal="left" vertical="top"/>
    </xf>
    <xf numFmtId="4" fontId="4" fillId="9" borderId="23" xfId="0" applyNumberFormat="1" applyFont="1" applyFill="1" applyBorder="1"/>
    <xf numFmtId="4" fontId="4" fillId="9" borderId="24" xfId="0" applyNumberFormat="1" applyFont="1" applyFill="1" applyBorder="1"/>
    <xf numFmtId="4" fontId="4" fillId="9" borderId="25" xfId="0" applyNumberFormat="1" applyFont="1" applyFill="1" applyBorder="1"/>
    <xf numFmtId="4" fontId="4" fillId="9" borderId="22" xfId="0" applyNumberFormat="1" applyFont="1" applyFill="1" applyBorder="1"/>
    <xf numFmtId="4" fontId="4" fillId="9" borderId="26" xfId="0" applyNumberFormat="1" applyFont="1" applyFill="1" applyBorder="1"/>
    <xf numFmtId="0" fontId="0" fillId="9" borderId="12" xfId="0" applyFont="1" applyFill="1" applyBorder="1"/>
    <xf numFmtId="4" fontId="3" fillId="9" borderId="13" xfId="3" applyNumberFormat="1" applyFont="1" applyFill="1" applyBorder="1" applyAlignment="1">
      <alignment horizontal="left" vertical="top"/>
    </xf>
    <xf numFmtId="4" fontId="3" fillId="9" borderId="14" xfId="3" applyNumberFormat="1" applyFont="1" applyFill="1" applyBorder="1" applyAlignment="1">
      <alignment horizontal="left" vertical="top"/>
    </xf>
    <xf numFmtId="4" fontId="0" fillId="9" borderId="14" xfId="0" applyNumberFormat="1" applyFont="1" applyFill="1" applyBorder="1"/>
    <xf numFmtId="4" fontId="0" fillId="9" borderId="31" xfId="0" applyNumberFormat="1" applyFont="1" applyFill="1" applyBorder="1"/>
    <xf numFmtId="4" fontId="0" fillId="9" borderId="15" xfId="0" applyNumberFormat="1" applyFont="1" applyFill="1" applyBorder="1"/>
    <xf numFmtId="4" fontId="0" fillId="9" borderId="12" xfId="0" applyNumberFormat="1" applyFont="1" applyFill="1" applyBorder="1"/>
    <xf numFmtId="4" fontId="0" fillId="9" borderId="13" xfId="0" applyNumberFormat="1" applyFont="1" applyFill="1" applyBorder="1"/>
    <xf numFmtId="0" fontId="4" fillId="16" borderId="0" xfId="0" applyFont="1" applyFill="1"/>
    <xf numFmtId="10" fontId="0" fillId="16" borderId="0" xfId="0" applyNumberFormat="1" applyFill="1"/>
    <xf numFmtId="4" fontId="0" fillId="0" borderId="0" xfId="0" applyNumberFormat="1" applyFont="1" applyFill="1" applyBorder="1"/>
    <xf numFmtId="10" fontId="0" fillId="0" borderId="7" xfId="0" applyNumberFormat="1" applyBorder="1"/>
    <xf numFmtId="10" fontId="0" fillId="0" borderId="18" xfId="0" applyNumberFormat="1" applyBorder="1"/>
    <xf numFmtId="176" fontId="0" fillId="0" borderId="0" xfId="0" applyNumberFormat="1"/>
    <xf numFmtId="4" fontId="0" fillId="10" borderId="5" xfId="0" applyNumberFormat="1" applyFill="1" applyBorder="1"/>
    <xf numFmtId="4" fontId="0" fillId="10" borderId="3" xfId="0" applyNumberFormat="1" applyFill="1" applyBorder="1"/>
    <xf numFmtId="4" fontId="0" fillId="10" borderId="4" xfId="0" applyNumberFormat="1" applyFill="1" applyBorder="1"/>
    <xf numFmtId="4" fontId="0" fillId="10" borderId="5" xfId="0" applyNumberFormat="1" applyFill="1" applyBorder="1" applyAlignment="1"/>
    <xf numFmtId="0" fontId="0" fillId="10" borderId="3" xfId="0" applyNumberFormat="1" applyFill="1" applyBorder="1"/>
    <xf numFmtId="0" fontId="0" fillId="10" borderId="5" xfId="0" applyNumberFormat="1" applyFill="1" applyBorder="1"/>
    <xf numFmtId="0" fontId="0" fillId="10" borderId="4" xfId="0" applyNumberFormat="1" applyFill="1" applyBorder="1"/>
    <xf numFmtId="4" fontId="0" fillId="0" borderId="0" xfId="0" applyNumberFormat="1" applyAlignment="1"/>
    <xf numFmtId="0" fontId="11" fillId="0" borderId="1" xfId="0" applyFont="1" applyBorder="1"/>
    <xf numFmtId="4" fontId="11" fillId="0" borderId="5" xfId="0" applyNumberFormat="1" applyFont="1" applyBorder="1"/>
    <xf numFmtId="4" fontId="11" fillId="0" borderId="3" xfId="0" applyNumberFormat="1" applyFont="1" applyBorder="1"/>
    <xf numFmtId="4" fontId="11" fillId="0" borderId="4" xfId="0" applyNumberFormat="1" applyFont="1" applyBorder="1"/>
    <xf numFmtId="0" fontId="18" fillId="0" borderId="0" xfId="4" applyFont="1" applyAlignment="1"/>
    <xf numFmtId="0" fontId="0" fillId="17" borderId="0" xfId="0" applyFill="1"/>
    <xf numFmtId="4" fontId="0" fillId="17" borderId="0" xfId="0" applyNumberFormat="1" applyFill="1"/>
    <xf numFmtId="0" fontId="0" fillId="18" borderId="0" xfId="0" applyFill="1" applyAlignment="1">
      <alignment vertical="top"/>
    </xf>
    <xf numFmtId="0" fontId="19" fillId="0" borderId="7" xfId="0" applyFont="1" applyBorder="1" applyAlignment="1">
      <alignment vertical="top" wrapText="1"/>
    </xf>
    <xf numFmtId="0" fontId="10" fillId="0" borderId="4" xfId="0" applyFont="1" applyBorder="1" applyAlignment="1">
      <alignment vertical="top"/>
    </xf>
    <xf numFmtId="0" fontId="4" fillId="0" borderId="7" xfId="0" applyFont="1" applyBorder="1" applyAlignment="1">
      <alignment vertical="top" wrapText="1"/>
    </xf>
    <xf numFmtId="164" fontId="0" fillId="0" borderId="0" xfId="0" applyNumberFormat="1" applyAlignment="1">
      <alignment vertical="top"/>
    </xf>
    <xf numFmtId="0" fontId="4" fillId="0" borderId="0" xfId="0" applyFont="1" applyBorder="1" applyAlignment="1">
      <alignment horizontal="left"/>
    </xf>
    <xf numFmtId="0" fontId="11" fillId="0" borderId="0" xfId="0" applyFont="1" applyBorder="1" applyAlignment="1">
      <alignment horizontal="center"/>
    </xf>
    <xf numFmtId="164" fontId="0" fillId="0" borderId="0" xfId="0" applyNumberFormat="1" applyBorder="1" applyAlignment="1">
      <alignment horizontal="center"/>
    </xf>
    <xf numFmtId="172" fontId="4" fillId="0" borderId="33" xfId="0" applyNumberFormat="1" applyFont="1" applyBorder="1" applyAlignment="1">
      <alignment horizontal="center" vertical="top"/>
    </xf>
    <xf numFmtId="172" fontId="4" fillId="0" borderId="7" xfId="0" applyNumberFormat="1" applyFont="1" applyBorder="1" applyAlignment="1">
      <alignment horizontal="center" vertical="top"/>
    </xf>
    <xf numFmtId="172" fontId="4" fillId="0" borderId="16" xfId="0" applyNumberFormat="1" applyFont="1" applyBorder="1" applyAlignment="1">
      <alignment horizontal="center" vertical="top"/>
    </xf>
    <xf numFmtId="0" fontId="7" fillId="0" borderId="1" xfId="0" applyFont="1" applyBorder="1" applyAlignment="1"/>
    <xf numFmtId="0" fontId="7" fillId="0" borderId="0" xfId="0" applyFont="1" applyBorder="1" applyAlignment="1">
      <alignment horizontal="center"/>
    </xf>
    <xf numFmtId="0" fontId="4" fillId="0" borderId="1" xfId="0" applyFont="1" applyBorder="1" applyAlignment="1"/>
    <xf numFmtId="0" fontId="4" fillId="0" borderId="3" xfId="0" applyFont="1" applyBorder="1" applyAlignment="1"/>
    <xf numFmtId="0" fontId="7" fillId="0" borderId="4" xfId="0" applyFont="1" applyBorder="1" applyAlignment="1"/>
    <xf numFmtId="0" fontId="7" fillId="0" borderId="7" xfId="0" applyFont="1" applyBorder="1" applyAlignment="1"/>
    <xf numFmtId="0" fontId="0" fillId="0" borderId="1" xfId="0" applyBorder="1" applyAlignment="1">
      <alignment horizontal="left"/>
    </xf>
    <xf numFmtId="0" fontId="0" fillId="0" borderId="4" xfId="0" applyBorder="1" applyAlignment="1">
      <alignment horizontal="left"/>
    </xf>
    <xf numFmtId="164" fontId="13" fillId="9" borderId="1" xfId="0" applyNumberFormat="1" applyFont="1" applyFill="1" applyBorder="1" applyAlignment="1" applyProtection="1">
      <alignment horizontal="left" vertical="top" wrapText="1"/>
      <protection locked="0"/>
    </xf>
    <xf numFmtId="164" fontId="13" fillId="9" borderId="3" xfId="0" applyNumberFormat="1" applyFont="1" applyFill="1" applyBorder="1" applyAlignment="1" applyProtection="1">
      <alignment horizontal="left" vertical="top" wrapText="1"/>
      <protection locked="0"/>
    </xf>
    <xf numFmtId="164" fontId="13" fillId="9" borderId="4" xfId="0" applyNumberFormat="1" applyFont="1" applyFill="1" applyBorder="1" applyAlignment="1" applyProtection="1">
      <alignment horizontal="left" vertical="top" wrapText="1"/>
      <protection locked="0"/>
    </xf>
    <xf numFmtId="0" fontId="4" fillId="0" borderId="1" xfId="0" applyFont="1" applyBorder="1" applyAlignment="1">
      <alignment horizontal="left"/>
    </xf>
    <xf numFmtId="0" fontId="4" fillId="0" borderId="3" xfId="0" applyFont="1" applyBorder="1" applyAlignment="1">
      <alignment horizontal="left"/>
    </xf>
    <xf numFmtId="0" fontId="4" fillId="0" borderId="4" xfId="0" applyFont="1" applyBorder="1" applyAlignment="1">
      <alignment horizontal="left"/>
    </xf>
    <xf numFmtId="0" fontId="0" fillId="0" borderId="1" xfId="0" applyBorder="1" applyAlignment="1">
      <alignment horizontal="center"/>
    </xf>
    <xf numFmtId="0" fontId="0" fillId="0" borderId="4" xfId="0" applyBorder="1" applyAlignment="1">
      <alignment horizontal="center"/>
    </xf>
    <xf numFmtId="0" fontId="4" fillId="0" borderId="41" xfId="0" applyFont="1" applyBorder="1" applyAlignment="1">
      <alignment horizontal="center" vertical="top"/>
    </xf>
    <xf numFmtId="0" fontId="4" fillId="0" borderId="43" xfId="0" applyFont="1" applyBorder="1" applyAlignment="1">
      <alignment horizontal="center" vertical="top"/>
    </xf>
    <xf numFmtId="0" fontId="4" fillId="0" borderId="42" xfId="0" applyFont="1" applyBorder="1" applyAlignment="1">
      <alignment horizontal="center" vertical="top"/>
    </xf>
    <xf numFmtId="0" fontId="0" fillId="0" borderId="0" xfId="0" applyAlignment="1">
      <alignment horizontal="left" vertical="top" wrapText="1"/>
    </xf>
    <xf numFmtId="0" fontId="0" fillId="10" borderId="7" xfId="0" applyFill="1" applyBorder="1" applyAlignment="1" applyProtection="1">
      <alignment horizontal="left" vertical="top" wrapText="1"/>
      <protection locked="0"/>
    </xf>
    <xf numFmtId="0" fontId="10" fillId="0" borderId="1" xfId="0" applyFont="1" applyBorder="1" applyAlignment="1">
      <alignment horizontal="center" vertical="top"/>
    </xf>
    <xf numFmtId="0" fontId="10" fillId="0" borderId="4" xfId="0" applyFont="1" applyBorder="1" applyAlignment="1">
      <alignment horizontal="center" vertical="top"/>
    </xf>
    <xf numFmtId="0" fontId="0" fillId="0" borderId="40" xfId="0" applyBorder="1" applyAlignment="1">
      <alignment horizontal="center" vertical="top"/>
    </xf>
    <xf numFmtId="0" fontId="0" fillId="0" borderId="9" xfId="0" applyBorder="1" applyAlignment="1">
      <alignment horizontal="center" vertical="top"/>
    </xf>
    <xf numFmtId="0" fontId="0" fillId="0" borderId="10" xfId="0" applyBorder="1" applyAlignment="1">
      <alignment horizontal="center" vertical="top"/>
    </xf>
    <xf numFmtId="164" fontId="0" fillId="0" borderId="1" xfId="0" applyNumberFormat="1" applyBorder="1" applyAlignment="1">
      <alignment horizontal="center"/>
    </xf>
    <xf numFmtId="164" fontId="0" fillId="0" borderId="3" xfId="0" applyNumberFormat="1" applyBorder="1" applyAlignment="1">
      <alignment horizontal="center"/>
    </xf>
    <xf numFmtId="164" fontId="0" fillId="0" borderId="4" xfId="0" applyNumberFormat="1" applyBorder="1" applyAlignment="1">
      <alignment horizontal="center"/>
    </xf>
    <xf numFmtId="173" fontId="0" fillId="0" borderId="1" xfId="0" applyNumberFormat="1" applyFill="1" applyBorder="1" applyAlignment="1">
      <alignment horizontal="center"/>
    </xf>
    <xf numFmtId="173" fontId="0" fillId="0" borderId="3" xfId="0" applyNumberFormat="1" applyFill="1" applyBorder="1" applyAlignment="1">
      <alignment horizontal="center"/>
    </xf>
    <xf numFmtId="173" fontId="0" fillId="0" borderId="4" xfId="0" applyNumberFormat="1" applyFill="1" applyBorder="1" applyAlignment="1">
      <alignment horizontal="center"/>
    </xf>
    <xf numFmtId="0" fontId="0" fillId="0" borderId="7" xfId="0" applyBorder="1" applyAlignment="1">
      <alignment horizontal="center"/>
    </xf>
    <xf numFmtId="0" fontId="0" fillId="0" borderId="7" xfId="0" applyBorder="1" applyAlignment="1">
      <alignment horizontal="left"/>
    </xf>
    <xf numFmtId="0" fontId="11" fillId="0" borderId="1"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0" fillId="0" borderId="1"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0" borderId="1"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164" fontId="0" fillId="0" borderId="1" xfId="0" applyNumberFormat="1"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4" fontId="0" fillId="0" borderId="1" xfId="0" applyNumberFormat="1" applyBorder="1" applyAlignment="1">
      <alignment vertical="top" wrapText="1"/>
    </xf>
    <xf numFmtId="4" fontId="0" fillId="0" borderId="3" xfId="0" applyNumberFormat="1" applyBorder="1" applyAlignment="1">
      <alignment vertical="top" wrapText="1"/>
    </xf>
    <xf numFmtId="4" fontId="0" fillId="0" borderId="4" xfId="0" applyNumberFormat="1" applyBorder="1" applyAlignment="1">
      <alignment vertical="top" wrapText="1"/>
    </xf>
    <xf numFmtId="0" fontId="0" fillId="0" borderId="3" xfId="0" applyBorder="1" applyAlignment="1">
      <alignment horizontal="left"/>
    </xf>
    <xf numFmtId="4" fontId="0" fillId="0" borderId="1" xfId="0" applyNumberForma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0" xfId="0" applyBorder="1" applyAlignment="1">
      <alignment horizontal="center"/>
    </xf>
    <xf numFmtId="175" fontId="0" fillId="0" borderId="1" xfId="0" applyNumberFormat="1" applyBorder="1" applyAlignment="1">
      <alignment horizontal="center"/>
    </xf>
    <xf numFmtId="175" fontId="0" fillId="0" borderId="3" xfId="0" applyNumberFormat="1" applyBorder="1" applyAlignment="1">
      <alignment horizontal="center"/>
    </xf>
    <xf numFmtId="175" fontId="0" fillId="0" borderId="4" xfId="0" applyNumberFormat="1" applyBorder="1" applyAlignment="1">
      <alignment horizontal="center"/>
    </xf>
    <xf numFmtId="174" fontId="0" fillId="0" borderId="1" xfId="0" applyNumberFormat="1" applyBorder="1" applyAlignment="1">
      <alignment horizontal="center"/>
    </xf>
    <xf numFmtId="174" fontId="0" fillId="0" borderId="3" xfId="0" applyNumberFormat="1" applyBorder="1" applyAlignment="1">
      <alignment horizontal="center"/>
    </xf>
    <xf numFmtId="174" fontId="0" fillId="0" borderId="4" xfId="0" applyNumberFormat="1" applyBorder="1" applyAlignment="1">
      <alignment horizontal="center"/>
    </xf>
    <xf numFmtId="174" fontId="0" fillId="9" borderId="1" xfId="0" applyNumberFormat="1" applyFill="1" applyBorder="1" applyAlignment="1">
      <alignment horizontal="left" vertical="top" wrapText="1"/>
    </xf>
    <xf numFmtId="174" fontId="0" fillId="9" borderId="3" xfId="0" applyNumberFormat="1" applyFill="1" applyBorder="1" applyAlignment="1">
      <alignment horizontal="left" vertical="top" wrapText="1"/>
    </xf>
    <xf numFmtId="174" fontId="0" fillId="9" borderId="4" xfId="0" applyNumberFormat="1" applyFill="1" applyBorder="1" applyAlignment="1">
      <alignment horizontal="left" vertical="top" wrapText="1"/>
    </xf>
    <xf numFmtId="0" fontId="0" fillId="9" borderId="1" xfId="0" applyFill="1" applyBorder="1" applyAlignment="1">
      <alignment horizontal="left" vertical="top" wrapText="1"/>
    </xf>
    <xf numFmtId="0" fontId="0" fillId="9" borderId="3" xfId="0" applyFill="1" applyBorder="1" applyAlignment="1">
      <alignment horizontal="left" vertical="top" wrapText="1"/>
    </xf>
    <xf numFmtId="0" fontId="0" fillId="9" borderId="4" xfId="0" applyFill="1" applyBorder="1" applyAlignment="1">
      <alignment horizontal="left" vertical="top" wrapText="1"/>
    </xf>
    <xf numFmtId="0" fontId="0" fillId="0" borderId="1" xfId="0" applyBorder="1" applyAlignment="1">
      <alignment vertical="top" wrapText="1"/>
    </xf>
    <xf numFmtId="164" fontId="0" fillId="0" borderId="3" xfId="0" applyNumberFormat="1" applyBorder="1" applyAlignment="1">
      <alignment vertical="top" wrapText="1"/>
    </xf>
    <xf numFmtId="164" fontId="0" fillId="0" borderId="4" xfId="0" applyNumberFormat="1" applyBorder="1" applyAlignment="1">
      <alignment vertical="top" wrapText="1"/>
    </xf>
    <xf numFmtId="0" fontId="0" fillId="0" borderId="3" xfId="0" applyBorder="1" applyAlignment="1">
      <alignment horizontal="center"/>
    </xf>
    <xf numFmtId="0" fontId="11" fillId="0" borderId="0" xfId="0" applyFont="1" applyAlignment="1">
      <alignment horizontal="center" wrapText="1"/>
    </xf>
    <xf numFmtId="0" fontId="11" fillId="0" borderId="0" xfId="0" applyFont="1" applyAlignment="1">
      <alignment horizontal="center"/>
    </xf>
    <xf numFmtId="0" fontId="0" fillId="0" borderId="7" xfId="0" applyFill="1" applyBorder="1" applyAlignment="1">
      <alignment horizontal="left" vertical="top" wrapText="1"/>
    </xf>
    <xf numFmtId="0" fontId="4" fillId="0" borderId="1" xfId="0" applyFont="1" applyBorder="1" applyAlignment="1">
      <alignment horizontal="center"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0" fillId="0" borderId="7" xfId="0" applyBorder="1" applyAlignment="1">
      <alignment horizontal="left" vertical="top"/>
    </xf>
    <xf numFmtId="0" fontId="0" fillId="0" borderId="7" xfId="0" applyBorder="1" applyAlignment="1">
      <alignment horizontal="left" vertical="top" wrapText="1"/>
    </xf>
    <xf numFmtId="0" fontId="0" fillId="9" borderId="1" xfId="0" applyFill="1" applyBorder="1" applyAlignment="1">
      <alignment horizontal="center" vertical="top"/>
    </xf>
    <xf numFmtId="0" fontId="0" fillId="9" borderId="3" xfId="0" applyFill="1" applyBorder="1" applyAlignment="1">
      <alignment horizontal="center" vertical="top"/>
    </xf>
    <xf numFmtId="0" fontId="0" fillId="9" borderId="4" xfId="0" applyFill="1" applyBorder="1" applyAlignment="1">
      <alignment horizontal="center" vertical="top"/>
    </xf>
    <xf numFmtId="164" fontId="0" fillId="0" borderId="1" xfId="0" applyNumberFormat="1" applyBorder="1" applyAlignment="1">
      <alignment horizontal="center" vertical="top"/>
    </xf>
    <xf numFmtId="164" fontId="0" fillId="0" borderId="3" xfId="0" applyNumberFormat="1" applyBorder="1" applyAlignment="1">
      <alignment horizontal="center" vertical="top"/>
    </xf>
    <xf numFmtId="164" fontId="0" fillId="0" borderId="4" xfId="0" applyNumberFormat="1" applyBorder="1" applyAlignment="1">
      <alignment horizontal="center" vertical="top"/>
    </xf>
    <xf numFmtId="0" fontId="0" fillId="0" borderId="1" xfId="0" applyFill="1" applyBorder="1" applyAlignment="1">
      <alignment horizontal="center" vertical="top"/>
    </xf>
    <xf numFmtId="0" fontId="0" fillId="0" borderId="3" xfId="0" applyFill="1" applyBorder="1" applyAlignment="1">
      <alignment horizontal="center" vertical="top"/>
    </xf>
    <xf numFmtId="0" fontId="0" fillId="0" borderId="4" xfId="0" applyFill="1" applyBorder="1" applyAlignment="1">
      <alignment horizontal="center" vertical="top"/>
    </xf>
    <xf numFmtId="0" fontId="7" fillId="0" borderId="1" xfId="0" applyFont="1" applyBorder="1" applyAlignment="1">
      <alignment horizontal="center"/>
    </xf>
    <xf numFmtId="0" fontId="7" fillId="0" borderId="4" xfId="0" applyFont="1" applyBorder="1" applyAlignment="1">
      <alignment horizontal="center"/>
    </xf>
    <xf numFmtId="0" fontId="12" fillId="0" borderId="1" xfId="0" applyFont="1" applyFill="1" applyBorder="1" applyAlignment="1">
      <alignment horizontal="center"/>
    </xf>
    <xf numFmtId="0" fontId="12" fillId="0" borderId="4" xfId="0" applyFont="1" applyFill="1" applyBorder="1" applyAlignment="1">
      <alignment horizontal="center"/>
    </xf>
    <xf numFmtId="0" fontId="0" fillId="0" borderId="1"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164" fontId="12" fillId="0" borderId="1" xfId="0" applyNumberFormat="1" applyFont="1" applyFill="1" applyBorder="1" applyAlignment="1">
      <alignment horizontal="center"/>
    </xf>
    <xf numFmtId="164" fontId="4" fillId="0" borderId="1" xfId="0" applyNumberFormat="1" applyFont="1" applyBorder="1" applyAlignment="1">
      <alignment vertical="top" wrapText="1"/>
    </xf>
    <xf numFmtId="0" fontId="4" fillId="0" borderId="3" xfId="0" applyFont="1" applyBorder="1" applyAlignment="1">
      <alignment vertical="top" wrapText="1"/>
    </xf>
    <xf numFmtId="0" fontId="4" fillId="0" borderId="4"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0" fillId="0" borderId="40" xfId="0"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0" fillId="0" borderId="0" xfId="0" applyFont="1" applyAlignment="1">
      <alignment horizontal="center"/>
    </xf>
    <xf numFmtId="0" fontId="0" fillId="0" borderId="44" xfId="0" applyFont="1" applyBorder="1" applyAlignment="1">
      <alignment horizontal="center"/>
    </xf>
    <xf numFmtId="0" fontId="0" fillId="0" borderId="45" xfId="0" applyFont="1" applyBorder="1" applyAlignment="1">
      <alignment horizontal="center"/>
    </xf>
    <xf numFmtId="0" fontId="0" fillId="0" borderId="46" xfId="0" applyFont="1" applyBorder="1" applyAlignment="1">
      <alignment horizontal="center"/>
    </xf>
  </cellXfs>
  <cellStyles count="5">
    <cellStyle name="Normale" xfId="0" builtinId="0"/>
    <cellStyle name="Normale 2" xfId="1" xr:uid="{00000000-0005-0000-0000-000001000000}"/>
    <cellStyle name="Normale 3" xfId="4" xr:uid="{00000000-0005-0000-0000-000002000000}"/>
    <cellStyle name="Percentuale 2" xfId="2" xr:uid="{00000000-0005-0000-0000-000003000000}"/>
    <cellStyle name="Valuta 2" xfId="3" xr:uid="{00000000-0005-0000-0000-000004000000}"/>
  </cellStyles>
  <dxfs count="28">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numFmt numFmtId="14" formatCode="0.00%"/>
    </dxf>
    <dxf>
      <font>
        <strike/>
      </font>
    </dxf>
    <dxf>
      <fill>
        <patternFill>
          <bgColor rgb="FFFFC000"/>
        </patternFill>
      </fill>
    </dxf>
    <dxf>
      <fill>
        <patternFill>
          <bgColor theme="1"/>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theme="1"/>
        </patternFill>
      </fill>
    </dxf>
    <dxf>
      <fill>
        <patternFill patternType="none">
          <bgColor indexed="65"/>
        </patternFill>
      </fill>
    </dxf>
    <dxf>
      <font>
        <strike/>
        <name val="Cambria"/>
        <scheme val="none"/>
      </font>
    </dxf>
    <dxf>
      <fill>
        <patternFill>
          <bgColor rgb="FFFF0000"/>
        </patternFill>
      </fill>
    </dxf>
    <dxf>
      <font>
        <strike/>
      </font>
    </dxf>
    <dxf>
      <font>
        <strike/>
      </font>
      <fill>
        <patternFill patternType="none">
          <bgColor indexed="65"/>
        </patternFill>
      </fill>
    </dxf>
    <dxf>
      <fill>
        <patternFill>
          <bgColor rgb="FFFFC000"/>
        </patternFill>
      </fill>
    </dxf>
    <dxf>
      <font>
        <strike val="0"/>
      </font>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Medium9">
    <tableStyle name="MySqlDefault"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pageSetUpPr fitToPage="1"/>
  </sheetPr>
  <dimension ref="A1:AM238"/>
  <sheetViews>
    <sheetView tabSelected="1" zoomScale="77" zoomScaleNormal="77" zoomScaleSheetLayoutView="40" workbookViewId="0">
      <selection activeCell="C30" sqref="C30"/>
    </sheetView>
  </sheetViews>
  <sheetFormatPr defaultRowHeight="15" x14ac:dyDescent="0.25"/>
  <cols>
    <col min="1" max="1" width="9.140625" style="96"/>
    <col min="2" max="2" width="51" style="96" customWidth="1"/>
    <col min="3" max="3" width="39" style="96" customWidth="1"/>
    <col min="4" max="4" width="41.42578125" style="96" bestFit="1" customWidth="1"/>
    <col min="5" max="6" width="37.85546875" style="96" customWidth="1"/>
    <col min="7" max="7" width="35.85546875" style="96" customWidth="1"/>
    <col min="8" max="8" width="24.42578125" style="96" bestFit="1" customWidth="1"/>
    <col min="9" max="9" width="22" style="96" customWidth="1"/>
    <col min="10" max="10" width="24.42578125" style="96" bestFit="1" customWidth="1"/>
    <col min="11" max="11" width="24.5703125" style="96" customWidth="1"/>
    <col min="12" max="13" width="24.140625" style="96" customWidth="1"/>
    <col min="14" max="19" width="26.7109375" style="96" customWidth="1"/>
    <col min="20" max="20" width="24.42578125" style="96" bestFit="1" customWidth="1"/>
    <col min="21" max="22" width="26.5703125" style="96" customWidth="1"/>
    <col min="23" max="23" width="22.42578125" style="96" customWidth="1"/>
    <col min="24" max="24" width="14.5703125" style="96" customWidth="1"/>
    <col min="25" max="25" width="15.42578125" style="96" bestFit="1" customWidth="1"/>
    <col min="26" max="31" width="16" style="96" customWidth="1"/>
    <col min="32" max="32" width="23" style="96" hidden="1" customWidth="1"/>
    <col min="33" max="33" width="122" style="203" hidden="1" customWidth="1"/>
    <col min="34" max="39" width="9.140625" style="96" hidden="1" customWidth="1"/>
    <col min="40" max="45" width="9.140625" style="96" customWidth="1"/>
    <col min="46" max="16384" width="9.140625" style="96"/>
  </cols>
  <sheetData>
    <row r="1" spans="1:33" x14ac:dyDescent="0.25">
      <c r="A1" s="169" t="s">
        <v>285</v>
      </c>
    </row>
    <row r="2" spans="1:33" x14ac:dyDescent="0.25">
      <c r="B2" s="100" t="s">
        <v>119</v>
      </c>
      <c r="C2" s="179" t="s">
        <v>49</v>
      </c>
    </row>
    <row r="3" spans="1:33" ht="33" customHeight="1" x14ac:dyDescent="0.25">
      <c r="B3" s="100" t="s">
        <v>139</v>
      </c>
      <c r="C3" s="208" t="s">
        <v>352</v>
      </c>
    </row>
    <row r="4" spans="1:33" ht="35.25" customHeight="1" x14ac:dyDescent="0.25">
      <c r="B4" s="100" t="s">
        <v>141</v>
      </c>
      <c r="C4" s="208" t="s">
        <v>353</v>
      </c>
    </row>
    <row r="5" spans="1:33" x14ac:dyDescent="0.25">
      <c r="B5" s="100" t="s">
        <v>143</v>
      </c>
      <c r="C5" s="208" t="s">
        <v>354</v>
      </c>
    </row>
    <row r="6" spans="1:33" x14ac:dyDescent="0.25">
      <c r="B6" s="100" t="s">
        <v>145</v>
      </c>
      <c r="C6" s="208" t="s">
        <v>362</v>
      </c>
    </row>
    <row r="7" spans="1:33" x14ac:dyDescent="0.25">
      <c r="B7" s="100" t="s">
        <v>147</v>
      </c>
      <c r="C7" s="208" t="s">
        <v>363</v>
      </c>
    </row>
    <row r="8" spans="1:33" x14ac:dyDescent="0.25">
      <c r="B8" s="100" t="s">
        <v>148</v>
      </c>
      <c r="C8" s="208"/>
    </row>
    <row r="11" spans="1:33" s="102" customFormat="1" x14ac:dyDescent="0.25">
      <c r="C11" s="102" t="s">
        <v>124</v>
      </c>
      <c r="D11" s="102" t="s">
        <v>24</v>
      </c>
      <c r="AG11" s="204"/>
    </row>
    <row r="12" spans="1:33" x14ac:dyDescent="0.25">
      <c r="B12" s="100" t="s">
        <v>122</v>
      </c>
      <c r="C12" s="181" t="s">
        <v>175</v>
      </c>
      <c r="E12" s="132"/>
    </row>
    <row r="13" spans="1:33" x14ac:dyDescent="0.25">
      <c r="A13" s="96">
        <f>+INDEX($A$223:$A$230,MATCH(C13,$B$223:$B$230,0))</f>
        <v>1</v>
      </c>
      <c r="B13" s="100" t="s">
        <v>177</v>
      </c>
      <c r="C13" s="180" t="s">
        <v>175</v>
      </c>
      <c r="E13" s="132"/>
    </row>
    <row r="14" spans="1:33" x14ac:dyDescent="0.25">
      <c r="B14" s="103"/>
      <c r="C14" s="103"/>
      <c r="E14" s="132"/>
    </row>
    <row r="15" spans="1:33" x14ac:dyDescent="0.25">
      <c r="B15" s="103"/>
      <c r="C15" s="103"/>
      <c r="E15" s="132"/>
    </row>
    <row r="16" spans="1:33" x14ac:dyDescent="0.25">
      <c r="A16" s="102" t="s">
        <v>286</v>
      </c>
      <c r="B16" s="103"/>
      <c r="C16" s="103"/>
    </row>
    <row r="17" spans="1:33" ht="132" customHeight="1" x14ac:dyDescent="0.25">
      <c r="B17" s="155" t="s">
        <v>241</v>
      </c>
      <c r="C17" s="334" t="s">
        <v>364</v>
      </c>
      <c r="D17" s="334"/>
      <c r="E17" s="334"/>
      <c r="AG17" s="203" t="str">
        <f t="shared" ref="AG17:AG24" si="0">+C17</f>
        <v xml:space="preserve">Acquisto di n. 30 posti-utente per il Servizio di Asilo Nido in strutture private autorizzate al servizio secondo gli standard regionali e inserite nel catalogo dell’offerta distrettuale previsto dal “AVVISO PUBBLICO PER L’ISCRIZIONE AL REGISTRO UNICO DISTRETTUALE DEI SOGGETTI ACCREDITATI AD EROGARE PRESTAZIONI E SERVIZI PERSONALIZZATI PER MINORI, ADOLESCENTI, ANZIANI, DISABILI, ADULTI, FAMIGLIE E IMMIGRATI, NELL'AMBITO TERRITORIALE DEI COMUNI DEL DISTRETTO SOCIO SANITARIO N. 11” del distretto D11, gestite da enti del terzo settore. Gli enti gestori dovranno garantire, in osservanza a quanto previsto dal D.P.R.S. 16 maggio 2013 “Nuovi standards strutturali ed organizzativi per i servizi di prima infanzia”, la presenza dei seguenti operatori: n. 4 Educatori, n.3 Ausiliari. Costo mensile per bambino pari ad euro 677,31.
Il servizio dovrà essere attivo dalle 08,00 alle 14,00 (6 h/giorno) per 5 giorni alla settimana ( da lunedì a Venerdì)  per 11 mesi: Settembre/Dicembre  2023  Gennaio/Luglio 2024 . Nell’intervento viene previsto io pranzo. </v>
      </c>
    </row>
    <row r="18" spans="1:33" ht="30" x14ac:dyDescent="0.25">
      <c r="B18" s="156" t="s">
        <v>235</v>
      </c>
      <c r="C18" s="334" t="s">
        <v>360</v>
      </c>
      <c r="D18" s="334"/>
      <c r="E18" s="334"/>
      <c r="AG18" s="203" t="str">
        <f t="shared" si="0"/>
        <v xml:space="preserve">In fase di Elaborazione
</v>
      </c>
    </row>
    <row r="19" spans="1:33" ht="36.75" customHeight="1" x14ac:dyDescent="0.25">
      <c r="B19" s="156" t="s">
        <v>236</v>
      </c>
      <c r="C19" s="334" t="s">
        <v>361</v>
      </c>
      <c r="D19" s="334"/>
      <c r="E19" s="334"/>
      <c r="AG19" s="203" t="str">
        <f t="shared" si="0"/>
        <v xml:space="preserve">In fase di elaborazione
</v>
      </c>
    </row>
    <row r="20" spans="1:33" ht="30" x14ac:dyDescent="0.25">
      <c r="B20" s="156" t="s">
        <v>237</v>
      </c>
      <c r="C20" s="334" t="s">
        <v>356</v>
      </c>
      <c r="D20" s="334"/>
      <c r="E20" s="334"/>
      <c r="AG20" s="203" t="str">
        <f t="shared" si="0"/>
        <v>Delibera di Consiglio del Comune di San Cataldo N° 103 del 02/12/2016</v>
      </c>
    </row>
    <row r="21" spans="1:33" ht="183" customHeight="1" x14ac:dyDescent="0.25">
      <c r="B21" s="156" t="s">
        <v>238</v>
      </c>
      <c r="C21" s="334" t="s">
        <v>355</v>
      </c>
      <c r="D21" s="334"/>
      <c r="E21" s="334"/>
      <c r="AG21" s="203" t="str">
        <f t="shared" si="0"/>
        <v xml:space="preserve">Prevista la compartecipazione economica da parte delle famiglie in relazione alla situazione reddituale del nucleo familiare di riferimento del minore, così come disposto dall’Art. 23 del Regolamento dei Servizi Socio-Assistenziali – del Comune di San Cataldo – Delibera di Consiglio N° 103 del 02/12/2016 – definito ai sensi dell’Art. 1 del D.A. n. 867/S7 del 15/04/2003  e/o s.m.i. – “Accesso agevolato ai servizi – Criteri unificati di valutazione economica” –:  “Il servizio sarà  gratuito per i soggetti la cui condizione economica complessiva del nucleo familiare di riferimento (ISE) , determinata ai sensi dell’Art. 1 del D.A. n. 867/S7 del 15/04/2003  e/o s.m.i. - Accesso agevolato ai servizi – Criteri unificati di valutazione economica – non supera l’importo annuo del trattamento minimo di pensione INPS per i lavoratori dipendenti adeguato, ove spettante, alle misure fissate dallo art. 38 della Legge n. 488/200, maggiorato:
-	del 50% nel caso in cui il soggetto richiedente è unico componente il nucleo familiare;
-	del 100% nel caso di due componenti;
-	dell'ulteriore 35% per ogni componente minore od adulto oltre il secondo.
Per condizioni economiche superiori i soggetti beneficiari possono essere ammessi al servizio previa compartecipazione in misura pari al 5% del costo sostenuto dal comune per ogni € 516,46 superiore al limite per la gratuità”. </v>
      </c>
    </row>
    <row r="22" spans="1:33" ht="30" x14ac:dyDescent="0.25">
      <c r="B22" s="156" t="s">
        <v>250</v>
      </c>
      <c r="C22" s="334" t="s">
        <v>357</v>
      </c>
      <c r="D22" s="334"/>
      <c r="E22" s="334"/>
      <c r="AG22" s="203" t="str">
        <f t="shared" si="0"/>
        <v>Deliberazione del Comitato dei Sindaci - seduta del 31/07/2020  - di cui alla D.D. n° 889 del 11/09/2020</v>
      </c>
    </row>
    <row r="23" spans="1:33" ht="408.75" customHeight="1" x14ac:dyDescent="0.25">
      <c r="B23" s="156" t="s">
        <v>251</v>
      </c>
      <c r="C23" s="334" t="s">
        <v>358</v>
      </c>
      <c r="D23" s="334"/>
      <c r="E23" s="334"/>
      <c r="AG23" s="203" t="str">
        <f t="shared" si="0"/>
        <v xml:space="preserve">IL “Sistema di Accreditamento”,  prevede  l’erogazione degli interventi di natura socio-assistenziali  mediante buoni di servizio (voucher ) resi attraverso Soggetti del Terzo Settore aventi i requisiti Tecnico-Qualitativi iscritti all’Albo Distrettuale.
I Criteri  per    l’Istituzione del Registro Unico Distrettuale (R.U.D.) degli operatori accreditati per l’erogazione dei servizi socio-assistenziali e socio-educativi con il  sistema dell’accreditamento, che garantisce una maggiore collaborazione tra enti pubblici e soggetti no profit e/o del Terzo Settore, nell’ottica di una razionalizzazione delle risorse economiche pubbliche, della valorizzazione dell’apporto delle organizzazioni non profit presenti sul territorio e dell'affermazione del principio della libera scelta da parte degli utenti/referenti familiari. l’iscrizione  al Registro Unico  Distrettuale (R.U.D.)  degli Organismi sopra specificati per l’erogazione, in relazione al target di intervento, dei servizi di:
A)	Target Anziani: Assistenza Domiciliare Anziani, Centri Diurni Anziani, Pasti a Domicilio, Lavanderia a Domicilio.
B)	Target Disabili: Assistenza Domiciliare, Assistenza Domiciliare malati oncologici, Centri diurni, Centri di aggregazione, Centro per soggetti con autismo, Servizi di inserimento lavorativo, Gestione progetti personalizzati di assistenza in favore di disabili gravi e/o gravissimi, assistenza all'autonomia ed alla comunicazione scolastica e/o domiciliare,   Trasporto disabili;
C)	Target Minori e Famiglie: Assistenza Domiciliare, Centri di aggregazione giovanile, Servizi integrativi prima infanzia 0/3 anni (varie tipologie), Centri Pronta Accoglienza, Servizi per la famiglia ed  Educativa Domiciliare;
D)	Target Dipendenze, Immigrazione, Emarginazione e Nuova povertà: Assistenza Domiciliare, Servizio Inserimento Lavorativo, Centri Diurni, Centri di pronta accoglienza, Strutture di “ricovero notturno”, Servizi mensa. L’ambito territoriale di attuazione delle prestazioni de quo  è costituito dai Comuni facenti parte del  Distretto Socio-Sanitario n. 11 che comprende i Comuni di:
 San Cataldo
 Bompensiere
 Marianopoli
 Montedoro
 Milena
 Serradifalco                                                                                                                                                                                                                                                                                                                                                                                                                                                                                                                              L'iscrizione al Registro Unico Distrettuale non costituisce nessuna garanzia di accesso ai fondi e di svolgimento del servizio. 
L'avvio di un servizio, per i soggetti accreditati, è subordinato alle condizioni poste da un successivo specifico Avviso di Disponibilità; in tale avviso, a seconda delle specifiche caratteristiche del servizio, potranno essere richiesti ulteriori requisiti di qualificazione tecnica e professionale indispensabili per poter svolgere l'attività, nonché la presentazione dell’Allegato Q - “Requisiti di  Qualità”- con la descrizione precisa dei modelli organizzativi, di valutazione, ect ,  nonché le proposte migliorative offerte senza nessun onere aggiuntivo per il Distretto/Comune.  L'avvio effettivo del servizio è, inoltre, subordinato alla sottoscrizione del "Patto di Accreditamento” che definisce il rapporto economico-contrattuale delle parti,  le prestazioni da garantire e le modalità organizzative e gestionali per la rendicontazione dei voucher . La sottoscrizione del “Patto di Accreditamento” è vincolata dalla scelta da parte del beneficiario/referente familiare.                                                                                                                                                                                                                                                                                                                                                                                                                                                                                                                                                                                                                                                                                                                                                                                                                                                                                                                                                                                                                                                             </v>
      </c>
    </row>
    <row r="24" spans="1:33" ht="369" customHeight="1" x14ac:dyDescent="0.25">
      <c r="B24" s="156" t="s">
        <v>252</v>
      </c>
      <c r="C24" s="334" t="s">
        <v>359</v>
      </c>
      <c r="D24" s="334"/>
      <c r="E24" s="334"/>
      <c r="AG24" s="203" t="str">
        <f t="shared" si="0"/>
        <v>La Commissione di valutazione  ha il compito di esaminare le istanze sia di nuova iscrizione  sia di rinnovo all’Albo Distrettuale e di verificare i requisiti organizzativi minimi e i requisiti di qualità soggettiva dei soggetti richiedenti.
La commissione è composta da: 
-	n° 2 funzionari dei Servizi Sociali dei Comuni del Distretto;
-	dal Dirigente del Comune Capofila del Distretto, in qualità di presidente e da un segretario verbalizzante;
La Commissione si riunisce per l’esame delle istanze, redigendo apposito verbale e l’elenco dei soggetti da accreditare. Il Dirigente del Comune capofila, con determina dirigenziale approva l’elenco.
 La Commissione svolge, altresì, funzioni di vigilanza e controllo rispetto:
	al mantenimento dei requisiti dei soggetti accreditati;
	alla sopravvenienza di condizioni e situazioni che costituiscono causa di esclusione;
	agli standard dei servizi e ai relativi obblighi specificati nel presente regolamento. 1.	                                                                                                                                                                                                                                                                                                                                                                              Il Registro Unico Distrettuale è un registro aperto, con la possibilità di presentare l’istanza  di accreditamento in ogni momento. Le domande, se idonee, saranno inserite nel RUD entro 30 giorni dalla presentazione;
2.	Agli organismi che hanno presentato domanda di accreditamento verrà data comunicazione dell’esito della procedura di iscrizione nell’elenco generale definitivo o del motivato diniego.
3.	Il RUD avrà durata annuale (gennaio/dicembre) e pertanto i soggetti già  accreditati per l’annualità successiva devono presentare autodichiarazione, di cui all’Allegato A bis,  di mantenimento dei requisiti di iscrizione al RUD entro il 30 gennaio di ogni anno;  
4.	Il R.U.D.  è approvato annualmente con Determina Dirigenziale del Responsabile dei Servizi Sociali del Comune capofila e pubblicato all'Albo Pretorio e nell’Area Trasparenza di tutti i Comuni ricadenti nel Distretto n. 11 di San Cataldo.
5.	Il R.U.D. potrà essere  sottoposto ad aggiornamento periodico nel caso in cui si verifichino nuove iscrizioni, che saranno ratificate con apposito atto dirigenziale;
6.	 L’accreditamento all’Albo Distrettuale   non dà automaticamente diritto alla realizzazione delle prestazioni socio assistenziali per le quali il Soggetto ha richiesto l’accreditamento ma vincolato a quanto esplicitato dall’Art. 13</v>
      </c>
    </row>
    <row r="25" spans="1:33" x14ac:dyDescent="0.25">
      <c r="C25" s="151"/>
      <c r="D25" s="151"/>
      <c r="E25" s="151"/>
    </row>
    <row r="26" spans="1:33" x14ac:dyDescent="0.25">
      <c r="B26"/>
      <c r="C26" s="149"/>
      <c r="D26" s="149"/>
    </row>
    <row r="27" spans="1:33" x14ac:dyDescent="0.25">
      <c r="A27" s="169" t="s">
        <v>288</v>
      </c>
    </row>
    <row r="28" spans="1:33" x14ac:dyDescent="0.25">
      <c r="B28" s="100" t="s">
        <v>287</v>
      </c>
      <c r="C28" s="182" t="s">
        <v>258</v>
      </c>
    </row>
    <row r="29" spans="1:33" x14ac:dyDescent="0.25">
      <c r="B29" s="100" t="s">
        <v>123</v>
      </c>
      <c r="C29" s="167" t="s">
        <v>46</v>
      </c>
    </row>
    <row r="30" spans="1:33" x14ac:dyDescent="0.25">
      <c r="B30" s="100" t="s">
        <v>302</v>
      </c>
      <c r="C30" s="235" t="s">
        <v>301</v>
      </c>
    </row>
    <row r="31" spans="1:33" x14ac:dyDescent="0.25">
      <c r="B31" s="103"/>
    </row>
    <row r="32" spans="1:33" x14ac:dyDescent="0.25">
      <c r="B32" s="103"/>
    </row>
    <row r="33" spans="1:11" x14ac:dyDescent="0.25">
      <c r="B33" s="100" t="s">
        <v>247</v>
      </c>
      <c r="C33" s="183">
        <v>30</v>
      </c>
    </row>
    <row r="34" spans="1:11" x14ac:dyDescent="0.25">
      <c r="B34" s="134" t="s">
        <v>19</v>
      </c>
    </row>
    <row r="35" spans="1:11" x14ac:dyDescent="0.25">
      <c r="B35" s="100" t="s">
        <v>283</v>
      </c>
      <c r="C35" s="180">
        <v>0</v>
      </c>
      <c r="D35" s="172" t="str">
        <f>+IF(C35&gt;C33,"Non è possibile indicare un numero di posti già acquistati superiore al numero di posti da acquistare","")</f>
        <v/>
      </c>
    </row>
    <row r="36" spans="1:11" x14ac:dyDescent="0.25">
      <c r="D36" s="172"/>
    </row>
    <row r="37" spans="1:11" x14ac:dyDescent="0.25">
      <c r="B37" s="100" t="s">
        <v>190</v>
      </c>
      <c r="C37" s="180" t="s">
        <v>77</v>
      </c>
    </row>
    <row r="38" spans="1:11" x14ac:dyDescent="0.25">
      <c r="B38" s="171" t="s">
        <v>191</v>
      </c>
      <c r="C38" s="184"/>
    </row>
    <row r="39" spans="1:11" x14ac:dyDescent="0.25">
      <c r="B39" s="171" t="s">
        <v>192</v>
      </c>
      <c r="C39" s="184"/>
    </row>
    <row r="40" spans="1:11" x14ac:dyDescent="0.25">
      <c r="B40" s="171" t="s">
        <v>193</v>
      </c>
      <c r="C40" s="185"/>
    </row>
    <row r="41" spans="1:11" x14ac:dyDescent="0.25">
      <c r="B41" s="335" t="str">
        <f>+IF(AND(SUM(C38:C40)&lt;&gt;C33,C37=C192),"Il dettaglio dei posti-utente non corrisponde al totale indicato. Rettificare","")</f>
        <v/>
      </c>
      <c r="C41" s="336"/>
    </row>
    <row r="42" spans="1:11" x14ac:dyDescent="0.25">
      <c r="B42" s="103"/>
    </row>
    <row r="43" spans="1:11" x14ac:dyDescent="0.25">
      <c r="B43" s="103"/>
    </row>
    <row r="44" spans="1:11" ht="15.75" thickBot="1" x14ac:dyDescent="0.3">
      <c r="A44" s="169" t="s">
        <v>290</v>
      </c>
      <c r="B44" s="103"/>
    </row>
    <row r="45" spans="1:11" x14ac:dyDescent="0.25">
      <c r="B45" s="337" t="s">
        <v>194</v>
      </c>
      <c r="C45" s="338"/>
      <c r="D45" s="338"/>
      <c r="E45" s="338"/>
      <c r="F45" s="338"/>
      <c r="G45" s="338"/>
      <c r="H45" s="339"/>
      <c r="I45" s="143" t="s">
        <v>228</v>
      </c>
    </row>
    <row r="46" spans="1:11" x14ac:dyDescent="0.25">
      <c r="B46" s="135" t="s">
        <v>195</v>
      </c>
      <c r="C46" s="100" t="s">
        <v>196</v>
      </c>
      <c r="D46" s="100" t="s">
        <v>197</v>
      </c>
      <c r="E46" s="100" t="s">
        <v>198</v>
      </c>
      <c r="F46" s="100" t="s">
        <v>199</v>
      </c>
      <c r="G46" s="100" t="s">
        <v>200</v>
      </c>
      <c r="H46" s="133" t="s">
        <v>201</v>
      </c>
      <c r="I46" s="100"/>
    </row>
    <row r="47" spans="1:11" x14ac:dyDescent="0.25">
      <c r="B47" s="183">
        <v>6</v>
      </c>
      <c r="C47" s="180">
        <v>6</v>
      </c>
      <c r="D47" s="180">
        <v>6</v>
      </c>
      <c r="E47" s="180">
        <v>6</v>
      </c>
      <c r="F47" s="180">
        <v>6</v>
      </c>
      <c r="G47" s="180"/>
      <c r="H47" s="186"/>
      <c r="I47" s="100">
        <f>+COUNTIF(B47:H47,"&gt;0")</f>
        <v>5</v>
      </c>
    </row>
    <row r="48" spans="1:11" ht="33" customHeight="1" x14ac:dyDescent="0.25">
      <c r="B48" s="103"/>
      <c r="I48" s="333" t="s">
        <v>295</v>
      </c>
      <c r="J48" s="333"/>
      <c r="K48" s="333"/>
    </row>
    <row r="49" spans="2:3" x14ac:dyDescent="0.25">
      <c r="B49" s="103"/>
    </row>
    <row r="50" spans="2:3" x14ac:dyDescent="0.25">
      <c r="B50" s="100" t="s">
        <v>202</v>
      </c>
      <c r="C50" s="180">
        <v>11</v>
      </c>
    </row>
    <row r="51" spans="2:3" x14ac:dyDescent="0.25">
      <c r="B51" s="100" t="s">
        <v>203</v>
      </c>
      <c r="C51" s="187"/>
    </row>
    <row r="52" spans="2:3" x14ac:dyDescent="0.25">
      <c r="B52" s="100"/>
      <c r="C52" s="100"/>
    </row>
    <row r="54" spans="2:3" ht="15.75" thickBot="1" x14ac:dyDescent="0.3">
      <c r="B54" s="103"/>
    </row>
    <row r="55" spans="2:3" x14ac:dyDescent="0.25">
      <c r="B55" s="221" t="s">
        <v>134</v>
      </c>
      <c r="C55" s="222">
        <f>+SUM(B47:H47)*C50*4.333</f>
        <v>1429.89</v>
      </c>
    </row>
    <row r="56" spans="2:3" x14ac:dyDescent="0.25">
      <c r="B56" s="139" t="s">
        <v>204</v>
      </c>
      <c r="C56" s="136">
        <f>+IF(C37=$C$193,ROUNDUP(C33/$H$233,0),IF($E$233&gt;0,ROUNDUP(C38/$E$233,0),0)+IF($F$233&gt;0,ROUNDUP(C39/$F$233,0),0)+IF($G$233&gt;0,ROUNDUP(C40/$G$233,0),0))-C57</f>
        <v>4</v>
      </c>
    </row>
    <row r="57" spans="2:3" x14ac:dyDescent="0.25">
      <c r="B57" s="139" t="s">
        <v>205</v>
      </c>
      <c r="C57" s="136">
        <f>+IF(C37=$C$193,ROUNDDOWN(C33/$H$233*$I$233,0),IF($E$233&gt;0,ROUNDDOWN(C38/$E$233*$I$233,0),0)+IF($F$233&gt;0,ROUNDDOWN(C39/$F$233*$I$233,0),0)+IF($G$233&gt;0,ROUNDDOWN(C40/$G$233*$I$233,0),0))</f>
        <v>0</v>
      </c>
    </row>
    <row r="58" spans="2:3" ht="15.75" thickBot="1" x14ac:dyDescent="0.3">
      <c r="B58" s="223" t="s">
        <v>206</v>
      </c>
      <c r="C58" s="224">
        <f>+IFERROR(ROUNDUP(C33/$J$233,0),0)</f>
        <v>3</v>
      </c>
    </row>
    <row r="59" spans="2:3" x14ac:dyDescent="0.25">
      <c r="B59" s="159"/>
      <c r="C59" s="103"/>
    </row>
    <row r="60" spans="2:3" x14ac:dyDescent="0.25">
      <c r="B60" s="159" t="s">
        <v>208</v>
      </c>
    </row>
    <row r="61" spans="2:3" x14ac:dyDescent="0.25">
      <c r="B61" s="135" t="s">
        <v>209</v>
      </c>
      <c r="C61" s="136" t="s">
        <v>210</v>
      </c>
    </row>
    <row r="62" spans="2:3" x14ac:dyDescent="0.25">
      <c r="B62" s="135">
        <f>IF(AND($C$12=$C$162,C33&gt;20),0.5,0)</f>
        <v>0.5</v>
      </c>
      <c r="C62" s="188">
        <v>0</v>
      </c>
    </row>
    <row r="63" spans="2:3" x14ac:dyDescent="0.25">
      <c r="B63" s="103"/>
    </row>
    <row r="64" spans="2:3" x14ac:dyDescent="0.25">
      <c r="B64" s="103"/>
    </row>
    <row r="65" spans="1:4" ht="15.75" thickBot="1" x14ac:dyDescent="0.3">
      <c r="B65" s="103" t="s">
        <v>248</v>
      </c>
    </row>
    <row r="66" spans="1:4" x14ac:dyDescent="0.25">
      <c r="B66" s="173" t="s">
        <v>209</v>
      </c>
      <c r="C66" s="173" t="s">
        <v>210</v>
      </c>
    </row>
    <row r="67" spans="1:4" ht="15.75" thickBot="1" x14ac:dyDescent="0.3">
      <c r="B67" s="174">
        <f>IF(AND($C$12=$C$162,C33&gt;29),0.5,IF(AND($C$12=$C$162,C33&gt;19),0.3,0))</f>
        <v>0.5</v>
      </c>
      <c r="C67" s="189">
        <v>0</v>
      </c>
    </row>
    <row r="68" spans="1:4" ht="15.75" thickBot="1" x14ac:dyDescent="0.3">
      <c r="B68" s="103"/>
    </row>
    <row r="69" spans="1:4" x14ac:dyDescent="0.25">
      <c r="B69" s="175" t="s">
        <v>212</v>
      </c>
      <c r="C69" s="173" t="s">
        <v>213</v>
      </c>
    </row>
    <row r="70" spans="1:4" ht="15.75" thickBot="1" x14ac:dyDescent="0.3">
      <c r="B70" s="176">
        <f>+IF($C$12=$C$162,ROUNDUP(C33*(IF(B47&gt;5,1,0)+IF(C47&gt;5,1,0)+IF(D47&gt;5,1,0)+IF(E47&gt;5,1,0)+IF(F47&gt;5,1,0)+IF(G47&gt;5,1,0)+IF(H47&gt;5,1,0))*C50*4.333,0),0)</f>
        <v>7150</v>
      </c>
      <c r="C70" s="190">
        <v>4</v>
      </c>
    </row>
    <row r="73" spans="1:4" x14ac:dyDescent="0.25">
      <c r="B73" s="100" t="s">
        <v>125</v>
      </c>
      <c r="C73" s="191" t="s">
        <v>77</v>
      </c>
    </row>
    <row r="74" spans="1:4" ht="30" x14ac:dyDescent="0.25">
      <c r="B74" s="99" t="s">
        <v>173</v>
      </c>
      <c r="C74" s="192">
        <v>0</v>
      </c>
      <c r="D74" s="140" t="str">
        <f>+IF(AND(C74&gt;0,C74&gt;0.15),"l'incidenza non può essere superiore al 15%","")</f>
        <v/>
      </c>
    </row>
    <row r="75" spans="1:4" x14ac:dyDescent="0.25">
      <c r="B75" s="100" t="s">
        <v>174</v>
      </c>
      <c r="C75" s="124">
        <f>+C74*SUM(C56:C58)*C55</f>
        <v>0</v>
      </c>
    </row>
    <row r="78" spans="1:4" x14ac:dyDescent="0.25">
      <c r="B78" s="100" t="s">
        <v>126</v>
      </c>
      <c r="C78" s="191" t="s">
        <v>52</v>
      </c>
    </row>
    <row r="79" spans="1:4" ht="30" x14ac:dyDescent="0.25">
      <c r="B79" s="99" t="s">
        <v>127</v>
      </c>
      <c r="C79" s="193">
        <v>0.01</v>
      </c>
      <c r="D79" s="140" t="str">
        <f>+IF(AND(C79&gt;0,C79&gt;0.08),"l'incidenza non può essere superiore all'8%","")</f>
        <v/>
      </c>
    </row>
    <row r="80" spans="1:4" ht="45" x14ac:dyDescent="0.25">
      <c r="A80" s="303"/>
      <c r="B80" s="304" t="s">
        <v>327</v>
      </c>
      <c r="C80" s="193"/>
      <c r="D80" s="305" t="str">
        <f>+IF(AND(C80&gt;0,C80&gt;0.02),"l'incidenza non può essere superiore all'2%","")</f>
        <v/>
      </c>
    </row>
    <row r="81" spans="1:12" x14ac:dyDescent="0.25">
      <c r="B81" s="103"/>
      <c r="C81" s="103"/>
    </row>
    <row r="82" spans="1:12" x14ac:dyDescent="0.25">
      <c r="B82" s="103"/>
    </row>
    <row r="83" spans="1:12" ht="57" x14ac:dyDescent="0.25">
      <c r="B83" s="168" t="s">
        <v>233</v>
      </c>
      <c r="C83" s="194"/>
      <c r="D83" s="148" t="str">
        <f>+IF(C83&gt;0.1,"Stando al CCNL, anche considerando un numero di ore maggiore di quello previsto mediamente dalle tabelle del Ministero del Lavoro, il costo/orario medio del personale non può essere ribassato di più che il 10%. ","")</f>
        <v/>
      </c>
      <c r="K83" s="146"/>
      <c r="L83" s="146"/>
    </row>
    <row r="84" spans="1:12" x14ac:dyDescent="0.25">
      <c r="K84" s="146"/>
      <c r="L84" s="146"/>
    </row>
    <row r="85" spans="1:12" x14ac:dyDescent="0.25">
      <c r="B85" s="103"/>
    </row>
    <row r="86" spans="1:12" x14ac:dyDescent="0.25">
      <c r="B86" s="100" t="s">
        <v>261</v>
      </c>
      <c r="C86" s="114">
        <f>+(SUM(H136:H143))/C33/C50</f>
        <v>660.27223976666676</v>
      </c>
    </row>
    <row r="88" spans="1:12" ht="45" x14ac:dyDescent="0.25">
      <c r="B88" s="99" t="s">
        <v>231</v>
      </c>
      <c r="C88" s="191" t="s">
        <v>77</v>
      </c>
    </row>
    <row r="89" spans="1:12" x14ac:dyDescent="0.25">
      <c r="B89" s="103"/>
      <c r="C89" s="104"/>
      <c r="D89" s="104"/>
    </row>
    <row r="90" spans="1:12" x14ac:dyDescent="0.25">
      <c r="B90" s="103"/>
      <c r="C90" s="104"/>
      <c r="D90" s="104"/>
    </row>
    <row r="91" spans="1:12" x14ac:dyDescent="0.25">
      <c r="B91" s="99" t="s">
        <v>129</v>
      </c>
      <c r="C91" s="195">
        <v>0.05</v>
      </c>
      <c r="D91" s="104"/>
    </row>
    <row r="93" spans="1:12" x14ac:dyDescent="0.25">
      <c r="A93" s="169" t="s">
        <v>291</v>
      </c>
      <c r="B93" s="103"/>
    </row>
    <row r="94" spans="1:12" x14ac:dyDescent="0.25">
      <c r="B94" s="103"/>
    </row>
    <row r="95" spans="1:12" ht="30" customHeight="1" x14ac:dyDescent="0.25">
      <c r="B95" s="147" t="s">
        <v>259</v>
      </c>
      <c r="C95" s="196" t="s">
        <v>77</v>
      </c>
    </row>
    <row r="96" spans="1:12" ht="79.5" customHeight="1" x14ac:dyDescent="0.25">
      <c r="B96" s="147" t="s">
        <v>264</v>
      </c>
      <c r="C96" s="209"/>
    </row>
    <row r="97" spans="1:33" ht="30" x14ac:dyDescent="0.25">
      <c r="B97" s="147" t="s">
        <v>284</v>
      </c>
      <c r="C97" s="196"/>
    </row>
    <row r="98" spans="1:33" ht="90" x14ac:dyDescent="0.25">
      <c r="B98" s="147" t="s">
        <v>263</v>
      </c>
      <c r="C98" s="322"/>
      <c r="D98" s="323"/>
      <c r="E98" s="324"/>
      <c r="AG98" s="205">
        <f>+C98</f>
        <v>0</v>
      </c>
    </row>
    <row r="99" spans="1:33" x14ac:dyDescent="0.25">
      <c r="B99" s="103"/>
    </row>
    <row r="100" spans="1:33" ht="42" customHeight="1" x14ac:dyDescent="0.25">
      <c r="B100" s="162" t="s">
        <v>260</v>
      </c>
      <c r="C100" s="163">
        <f>1-C97/C86</f>
        <v>1</v>
      </c>
    </row>
    <row r="101" spans="1:33" x14ac:dyDescent="0.25">
      <c r="B101" s="103"/>
    </row>
    <row r="103" spans="1:33" ht="15.75" thickBot="1" x14ac:dyDescent="0.3">
      <c r="A103" s="102" t="s">
        <v>136</v>
      </c>
    </row>
    <row r="104" spans="1:33" x14ac:dyDescent="0.25">
      <c r="B104" s="102"/>
      <c r="C104" s="330" t="s">
        <v>335</v>
      </c>
      <c r="D104" s="331"/>
      <c r="E104" s="332"/>
    </row>
    <row r="105" spans="1:33" x14ac:dyDescent="0.25">
      <c r="B105" s="102"/>
      <c r="C105" s="144" t="s">
        <v>336</v>
      </c>
      <c r="D105" s="119" t="s">
        <v>337</v>
      </c>
      <c r="E105" s="118" t="s">
        <v>351</v>
      </c>
    </row>
    <row r="106" spans="1:33" ht="30" x14ac:dyDescent="0.25">
      <c r="B106" s="113" t="s">
        <v>230</v>
      </c>
      <c r="C106" s="311">
        <v>4</v>
      </c>
      <c r="D106" s="312">
        <v>6</v>
      </c>
      <c r="E106" s="313">
        <v>1</v>
      </c>
      <c r="F106" s="152" t="s">
        <v>229</v>
      </c>
      <c r="G106" s="137" t="s">
        <v>232</v>
      </c>
      <c r="H106" s="306" t="s">
        <v>333</v>
      </c>
      <c r="I106" s="306" t="s">
        <v>332</v>
      </c>
      <c r="J106" s="306" t="s">
        <v>328</v>
      </c>
      <c r="K106" s="306" t="s">
        <v>329</v>
      </c>
      <c r="L106" s="306" t="s">
        <v>330</v>
      </c>
    </row>
    <row r="107" spans="1:33" ht="15.75" thickBot="1" x14ac:dyDescent="0.3">
      <c r="B107" s="133" t="s">
        <v>249</v>
      </c>
      <c r="C107" s="213">
        <v>4</v>
      </c>
      <c r="D107" s="215">
        <v>6</v>
      </c>
      <c r="E107" s="214">
        <v>1</v>
      </c>
      <c r="F107" s="153">
        <f>+SUM(C107:E107)</f>
        <v>11</v>
      </c>
      <c r="G107" s="114">
        <f>+SUM(H136:H143,H145)*(IF(H146&gt;0,1+G146,1))</f>
        <v>228784.33107915003</v>
      </c>
      <c r="H107" s="114">
        <f>+SUM(H136:H141)/SUM(C107:E107)*SUM(C107:E107)*C80</f>
        <v>0</v>
      </c>
      <c r="I107" s="114">
        <f>+H107*(IF(H146&gt;0,G146,))</f>
        <v>0</v>
      </c>
      <c r="J107" s="114">
        <f>+I107+H107+G107</f>
        <v>228784.33107915003</v>
      </c>
      <c r="K107" s="114">
        <f>+G107+H148</f>
        <v>228784.33107915003</v>
      </c>
      <c r="L107" s="307">
        <f>+K107+I107+H107</f>
        <v>228784.33107915003</v>
      </c>
    </row>
    <row r="108" spans="1:33" ht="15.75" thickBot="1" x14ac:dyDescent="0.3"/>
    <row r="109" spans="1:33" x14ac:dyDescent="0.25">
      <c r="B109" s="102" t="s">
        <v>239</v>
      </c>
      <c r="C109" s="330" t="s">
        <v>335</v>
      </c>
      <c r="D109" s="331"/>
      <c r="E109" s="332"/>
      <c r="F109" s="146"/>
      <c r="G109" s="146"/>
      <c r="H109" s="146"/>
    </row>
    <row r="110" spans="1:33" x14ac:dyDescent="0.25">
      <c r="B110" s="102"/>
      <c r="C110" s="144" t="s">
        <v>336</v>
      </c>
      <c r="D110" s="119" t="s">
        <v>337</v>
      </c>
      <c r="E110" s="118" t="s">
        <v>351</v>
      </c>
      <c r="F110" s="146"/>
      <c r="G110" s="146"/>
      <c r="H110" s="146"/>
    </row>
    <row r="111" spans="1:33" ht="15.75" thickBot="1" x14ac:dyDescent="0.3">
      <c r="B111" s="133"/>
      <c r="C111" s="210">
        <f>+IF($G107&gt;0,C107*$G107/$F107,0)+IF($H107&gt;0,C107*($H107+$I107)/SUM($C107:$E107),0)</f>
        <v>83194.302210600013</v>
      </c>
      <c r="D111" s="216">
        <f>+IF($G107&gt;0,D107*$G107/$F107,0)+IF($H107&gt;0,D107*($H107+$I107)/SUM($C107:$E107),0)</f>
        <v>124791.4533159</v>
      </c>
      <c r="E111" s="211">
        <f>+IF($G107&gt;0,E107*$G107/$F107,0)+IF($H107&gt;0,E107*($H107+$I107)/SUM($C107:$E107),0)</f>
        <v>20798.575552650003</v>
      </c>
      <c r="F111" s="146"/>
      <c r="G111" s="146"/>
      <c r="H111" s="146"/>
    </row>
    <row r="112" spans="1:33" x14ac:dyDescent="0.25">
      <c r="C112" s="154">
        <f t="shared" ref="C112:E112" si="1">+SUM(C111:C111)</f>
        <v>83194.302210600013</v>
      </c>
      <c r="D112" s="154">
        <f t="shared" si="1"/>
        <v>124791.4533159</v>
      </c>
      <c r="E112" s="154">
        <f t="shared" si="1"/>
        <v>20798.575552650003</v>
      </c>
      <c r="F112" s="146"/>
      <c r="G112" s="146"/>
      <c r="H112" s="146"/>
    </row>
    <row r="114" spans="2:12" ht="15.75" thickBot="1" x14ac:dyDescent="0.3"/>
    <row r="115" spans="2:12" x14ac:dyDescent="0.25">
      <c r="B115" s="102" t="s">
        <v>240</v>
      </c>
      <c r="C115" s="330" t="s">
        <v>335</v>
      </c>
      <c r="D115" s="331"/>
      <c r="E115" s="332"/>
    </row>
    <row r="116" spans="2:12" x14ac:dyDescent="0.25">
      <c r="B116" s="102"/>
      <c r="C116" s="144" t="s">
        <v>336</v>
      </c>
      <c r="D116" s="119" t="s">
        <v>337</v>
      </c>
      <c r="E116" s="118" t="s">
        <v>351</v>
      </c>
    </row>
    <row r="117" spans="2:12" ht="15.75" thickBot="1" x14ac:dyDescent="0.3">
      <c r="B117" s="133"/>
      <c r="C117" s="210">
        <f>+IF($K107&gt;0,C107*$K107/$F107,0)+IF($H107&gt;0,C107*($H107+$I107)/SUM($C107:$E107),0)</f>
        <v>83194.302210600013</v>
      </c>
      <c r="D117" s="216">
        <f>+IF($K107&gt;0,D107*$K107/$F107,0)+IF($H107&gt;0,D107*($H107+$I107)/SUM($C107:$E107),0)</f>
        <v>124791.4533159</v>
      </c>
      <c r="E117" s="211">
        <f>+IF($K107&gt;0,E107*$K107/$F107,0)+IF($H107&gt;0,E107*($H107+$I107)/SUM($C107:$E107),0)</f>
        <v>20798.575552650003</v>
      </c>
    </row>
    <row r="118" spans="2:12" x14ac:dyDescent="0.25">
      <c r="C118" s="212">
        <f t="shared" ref="C118:E118" si="2">+SUM(C117:C117)</f>
        <v>83194.302210600013</v>
      </c>
      <c r="D118" s="212">
        <f t="shared" si="2"/>
        <v>124791.4533159</v>
      </c>
      <c r="E118" s="212">
        <f t="shared" si="2"/>
        <v>20798.575552650003</v>
      </c>
    </row>
    <row r="119" spans="2:12" x14ac:dyDescent="0.25">
      <c r="C119" s="154"/>
      <c r="D119" s="154"/>
      <c r="E119" s="154"/>
      <c r="F119" s="154"/>
      <c r="G119" s="154"/>
      <c r="H119" s="154"/>
      <c r="I119" s="154"/>
      <c r="J119" s="154"/>
      <c r="K119" s="154"/>
      <c r="L119" s="154"/>
    </row>
    <row r="120" spans="2:12" x14ac:dyDescent="0.25">
      <c r="C120" s="154"/>
      <c r="D120" s="154"/>
      <c r="E120" s="154"/>
      <c r="F120" s="154"/>
      <c r="G120" s="154"/>
      <c r="H120" s="154"/>
      <c r="I120" s="154"/>
      <c r="K120" s="146"/>
      <c r="L120" s="146"/>
    </row>
    <row r="121" spans="2:12" x14ac:dyDescent="0.25">
      <c r="B121" s="96" t="s">
        <v>279</v>
      </c>
      <c r="C121" s="154"/>
      <c r="D121" s="154"/>
      <c r="E121" s="154"/>
      <c r="F121" s="154"/>
      <c r="G121" s="154"/>
      <c r="H121" s="154"/>
      <c r="I121" s="154"/>
      <c r="K121" s="146"/>
      <c r="L121" s="146"/>
    </row>
    <row r="122" spans="2:12" x14ac:dyDescent="0.25">
      <c r="C122" s="154"/>
      <c r="D122" s="154"/>
      <c r="E122" s="154"/>
      <c r="F122" s="154"/>
      <c r="G122" s="154"/>
      <c r="H122" s="154"/>
      <c r="I122" s="154"/>
      <c r="K122" s="146"/>
      <c r="L122" s="146"/>
    </row>
    <row r="123" spans="2:12" x14ac:dyDescent="0.25">
      <c r="B123" s="325" t="s">
        <v>242</v>
      </c>
      <c r="C123" s="326"/>
      <c r="D123" s="327"/>
      <c r="E123" s="154"/>
      <c r="F123" s="154"/>
      <c r="G123" s="154"/>
      <c r="H123" s="154"/>
      <c r="I123" s="154"/>
      <c r="K123" s="146"/>
      <c r="L123" s="146"/>
    </row>
    <row r="124" spans="2:12" x14ac:dyDescent="0.25">
      <c r="B124" s="328"/>
      <c r="C124" s="329"/>
      <c r="D124" s="155" t="s">
        <v>168</v>
      </c>
      <c r="E124" s="154"/>
      <c r="F124" s="154"/>
      <c r="G124" s="154"/>
      <c r="H124" s="154"/>
      <c r="I124" s="154"/>
      <c r="K124" s="146"/>
      <c r="L124" s="146"/>
    </row>
    <row r="125" spans="2:12" x14ac:dyDescent="0.25">
      <c r="B125" s="320" t="s">
        <v>243</v>
      </c>
      <c r="C125" s="321"/>
      <c r="D125" s="207">
        <v>45108</v>
      </c>
      <c r="E125" s="154"/>
      <c r="F125" s="154"/>
      <c r="G125" s="154"/>
      <c r="H125" s="154"/>
      <c r="I125" s="154"/>
      <c r="K125" s="146"/>
      <c r="L125" s="146"/>
    </row>
    <row r="126" spans="2:12" x14ac:dyDescent="0.25">
      <c r="B126" s="320" t="s">
        <v>244</v>
      </c>
      <c r="C126" s="321"/>
      <c r="D126" s="207">
        <v>45139</v>
      </c>
      <c r="E126" s="154"/>
      <c r="F126" s="154"/>
      <c r="G126" s="154"/>
      <c r="H126" s="154"/>
      <c r="I126" s="154"/>
      <c r="K126" s="146"/>
      <c r="L126" s="146"/>
    </row>
    <row r="127" spans="2:12" x14ac:dyDescent="0.25">
      <c r="B127" s="320" t="s">
        <v>245</v>
      </c>
      <c r="C127" s="321"/>
      <c r="D127" s="207">
        <v>45170</v>
      </c>
      <c r="E127" s="154"/>
      <c r="F127" s="154"/>
      <c r="G127" s="154"/>
      <c r="H127" s="154"/>
      <c r="I127" s="154"/>
      <c r="K127" s="146"/>
      <c r="L127" s="146"/>
    </row>
    <row r="128" spans="2:12" x14ac:dyDescent="0.25">
      <c r="B128" s="320" t="s">
        <v>246</v>
      </c>
      <c r="C128" s="321"/>
      <c r="D128" s="207">
        <v>45474</v>
      </c>
      <c r="E128" s="154"/>
      <c r="F128" s="154"/>
      <c r="G128" s="154"/>
      <c r="H128" s="154"/>
      <c r="I128" s="154"/>
      <c r="K128" s="146"/>
      <c r="L128" s="146"/>
    </row>
    <row r="129" spans="2:36" x14ac:dyDescent="0.25">
      <c r="C129" s="154"/>
      <c r="D129" s="154"/>
      <c r="E129" s="154"/>
      <c r="F129" s="154"/>
      <c r="G129" s="154"/>
      <c r="H129" s="154"/>
      <c r="I129" s="154"/>
      <c r="K129" s="146"/>
      <c r="L129" s="146"/>
    </row>
    <row r="130" spans="2:36" x14ac:dyDescent="0.25">
      <c r="C130" s="154"/>
      <c r="D130" s="154"/>
      <c r="E130" s="154"/>
      <c r="F130" s="154"/>
      <c r="G130" s="154"/>
      <c r="H130" s="154"/>
      <c r="I130" s="154"/>
      <c r="K130" s="146"/>
      <c r="L130" s="146"/>
    </row>
    <row r="131" spans="2:36" x14ac:dyDescent="0.25">
      <c r="K131" s="146"/>
      <c r="L131" s="146"/>
    </row>
    <row r="132" spans="2:36" x14ac:dyDescent="0.25">
      <c r="K132" s="146"/>
      <c r="L132" s="146"/>
    </row>
    <row r="133" spans="2:36" x14ac:dyDescent="0.25">
      <c r="B133" s="103"/>
      <c r="C133" s="103"/>
    </row>
    <row r="134" spans="2:36" x14ac:dyDescent="0.25">
      <c r="B134" s="113" t="s">
        <v>130</v>
      </c>
      <c r="C134" s="100"/>
      <c r="D134" s="100"/>
      <c r="E134" s="100"/>
      <c r="F134" s="100"/>
      <c r="G134" s="100"/>
      <c r="H134" s="100"/>
      <c r="I134" s="103"/>
      <c r="J134" s="103"/>
      <c r="K134" s="103"/>
      <c r="L134" s="103"/>
      <c r="M134" s="103"/>
      <c r="N134" s="103"/>
      <c r="O134" s="103"/>
      <c r="P134" s="103"/>
      <c r="Q134" s="103"/>
      <c r="R134" s="103"/>
      <c r="S134" s="103"/>
      <c r="T134" s="103"/>
      <c r="U134" s="103"/>
      <c r="V134" s="103"/>
      <c r="W134" s="103"/>
      <c r="X134" s="103"/>
      <c r="Y134" s="103"/>
      <c r="Z134" s="103"/>
      <c r="AA134" s="103"/>
      <c r="AB134" s="103"/>
      <c r="AC134" s="103"/>
      <c r="AD134" s="103"/>
      <c r="AE134" s="103"/>
      <c r="AF134" s="103"/>
    </row>
    <row r="135" spans="2:36" s="102" customFormat="1" x14ac:dyDescent="0.25">
      <c r="B135" s="113"/>
      <c r="C135" s="118" t="s">
        <v>45</v>
      </c>
      <c r="D135" s="118" t="s">
        <v>118</v>
      </c>
      <c r="E135" s="118" t="s">
        <v>18</v>
      </c>
      <c r="F135" s="118" t="s">
        <v>20</v>
      </c>
      <c r="G135" s="118" t="s">
        <v>134</v>
      </c>
      <c r="H135" s="118" t="s">
        <v>23</v>
      </c>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204"/>
      <c r="AH135" s="201">
        <v>1</v>
      </c>
      <c r="AI135" s="201"/>
      <c r="AJ135" s="201"/>
    </row>
    <row r="136" spans="2:36" x14ac:dyDescent="0.25">
      <c r="B136" s="100" t="s">
        <v>132</v>
      </c>
      <c r="C136" s="100" t="str">
        <f>+C29</f>
        <v>CCNL Cooperative</v>
      </c>
      <c r="D136" s="100" t="str">
        <f>+IF(C136=$C$190,"D3/E1","D1")</f>
        <v>D3/E1</v>
      </c>
      <c r="E136" s="100"/>
      <c r="F136" s="115">
        <f>+INDEX('CCNL-appoggio'!$L$2:$L$24,MATCH(INPUT!D136,'CCNL-appoggio'!$K$2:$K$24,0))*IF($C$28=$C$187,1-$C$83,1)</f>
        <v>21.59</v>
      </c>
      <c r="G136" s="115">
        <f>+C75</f>
        <v>0</v>
      </c>
      <c r="H136" s="114">
        <f>+IF(C73=C192,G136*F136,0)</f>
        <v>0</v>
      </c>
      <c r="I136" s="178"/>
      <c r="J136" s="178"/>
      <c r="K136" s="178"/>
      <c r="L136" s="178"/>
      <c r="M136" s="178"/>
      <c r="N136" s="178"/>
      <c r="O136" s="178"/>
      <c r="P136" s="178"/>
      <c r="Q136" s="178"/>
      <c r="R136" s="178"/>
      <c r="S136" s="178"/>
      <c r="T136" s="178"/>
      <c r="U136" s="178"/>
      <c r="V136" s="178"/>
      <c r="W136" s="178"/>
      <c r="X136" s="178"/>
      <c r="Y136" s="178"/>
      <c r="Z136" s="178"/>
      <c r="AA136" s="178"/>
      <c r="AB136" s="178"/>
      <c r="AC136" s="178"/>
      <c r="AD136" s="178"/>
      <c r="AE136" s="178"/>
      <c r="AF136" s="178"/>
      <c r="AH136" s="200">
        <f>+IF(H136&lt;&gt;0,MAX($AH$135:AH135)+1,0)</f>
        <v>0</v>
      </c>
      <c r="AI136" s="200"/>
      <c r="AJ136" s="200" t="str">
        <f t="shared" ref="AJ136:AJ141" si="3">+B136 &amp; " - "&amp;C136&amp; " - " &amp;D136 &amp; " (costo orario " &amp; ROUND(F136,2) &amp; " €/ora)"</f>
        <v>Coordinatore - CCNL Cooperative - D3/E1 (costo orario 21,59 €/ora)</v>
      </c>
    </row>
    <row r="137" spans="2:36" x14ac:dyDescent="0.25">
      <c r="B137" s="100" t="s">
        <v>214</v>
      </c>
      <c r="C137" s="100" t="str">
        <f>+C29</f>
        <v>CCNL Cooperative</v>
      </c>
      <c r="D137" s="100" t="str">
        <f>+IF(C137=$C$190,"D2","C1")</f>
        <v>D2</v>
      </c>
      <c r="E137" s="100"/>
      <c r="F137" s="115">
        <f>+INDEX('CCNL-appoggio'!$L$2:$L$24,MATCH(INPUT!D137,'CCNL-appoggio'!$K$2:$K$24,0))*IF($C$28=$C$187,1-$C$83,1)</f>
        <v>20.22</v>
      </c>
      <c r="G137" s="115">
        <f>+$C$55*C56</f>
        <v>5719.56</v>
      </c>
      <c r="H137" s="114">
        <f>+G137*F137</f>
        <v>115649.50320000001</v>
      </c>
      <c r="I137" s="178"/>
      <c r="J137" s="178"/>
      <c r="K137" s="178"/>
      <c r="L137" s="178"/>
      <c r="M137" s="178"/>
      <c r="N137" s="178"/>
      <c r="O137" s="178"/>
      <c r="P137" s="178"/>
      <c r="Q137" s="178"/>
      <c r="R137" s="178"/>
      <c r="S137" s="178"/>
      <c r="T137" s="178"/>
      <c r="U137" s="178"/>
      <c r="V137" s="178"/>
      <c r="W137" s="178"/>
      <c r="X137" s="178"/>
      <c r="Y137" s="178"/>
      <c r="Z137" s="178"/>
      <c r="AA137" s="178"/>
      <c r="AB137" s="178"/>
      <c r="AC137" s="178"/>
      <c r="AD137" s="178"/>
      <c r="AE137" s="178"/>
      <c r="AF137" s="178"/>
      <c r="AH137" s="200">
        <f>+IF(H137&lt;&gt;0,MAX($AH$135:AH136)+1,0)</f>
        <v>2</v>
      </c>
      <c r="AI137" s="200"/>
      <c r="AJ137" s="200" t="str">
        <f t="shared" si="3"/>
        <v>Educatore Professionale - CCNL Cooperative - D2 (costo orario 20,22 €/ora)</v>
      </c>
    </row>
    <row r="138" spans="2:36" x14ac:dyDescent="0.25">
      <c r="B138" s="100" t="s">
        <v>215</v>
      </c>
      <c r="C138" s="100" t="str">
        <f>+C29</f>
        <v>CCNL Cooperative</v>
      </c>
      <c r="D138" s="100" t="str">
        <f>+IF(C138=$C$190,"C3/D1","C1")</f>
        <v>C3/D1</v>
      </c>
      <c r="E138" s="100"/>
      <c r="F138" s="115">
        <f>+INDEX('CCNL-appoggio'!$L$2:$L$24,MATCH(INPUT!D138,'CCNL-appoggio'!$K$2:$K$24,0))*IF($C$28=$C$187,1-$C$83,1)</f>
        <v>19.13</v>
      </c>
      <c r="G138" s="115">
        <f>+C57*C55</f>
        <v>0</v>
      </c>
      <c r="H138" s="114">
        <f>+G138*F138</f>
        <v>0</v>
      </c>
      <c r="I138" s="178"/>
      <c r="J138" s="178"/>
      <c r="K138" s="178"/>
      <c r="L138" s="178"/>
      <c r="M138" s="178"/>
      <c r="N138" s="178"/>
      <c r="O138" s="178"/>
      <c r="P138" s="178"/>
      <c r="Q138" s="178"/>
      <c r="R138" s="178"/>
      <c r="S138" s="178"/>
      <c r="T138" s="178"/>
      <c r="U138" s="178"/>
      <c r="V138" s="178"/>
      <c r="W138" s="178"/>
      <c r="X138" s="178"/>
      <c r="Y138" s="178"/>
      <c r="Z138" s="178"/>
      <c r="AA138" s="178"/>
      <c r="AB138" s="178"/>
      <c r="AC138" s="178"/>
      <c r="AD138" s="178"/>
      <c r="AE138" s="178"/>
      <c r="AF138" s="178"/>
      <c r="AH138" s="200">
        <f>+IF(H138&lt;&gt;0,MAX($AH$135:AH137)+1,0)</f>
        <v>0</v>
      </c>
      <c r="AI138" s="200"/>
      <c r="AJ138" s="200" t="str">
        <f t="shared" si="3"/>
        <v>Educatore  - CCNL Cooperative - C3/D1 (costo orario 19,13 €/ora)</v>
      </c>
    </row>
    <row r="139" spans="2:36" x14ac:dyDescent="0.25">
      <c r="B139" s="100" t="s">
        <v>216</v>
      </c>
      <c r="C139" s="100" t="str">
        <f>+C29</f>
        <v>CCNL Cooperative</v>
      </c>
      <c r="D139" s="100" t="str">
        <f>+IF(C139=$C$190,"B1","A1")</f>
        <v>B1</v>
      </c>
      <c r="E139" s="100"/>
      <c r="F139" s="115">
        <f>+INDEX('CCNL-appoggio'!$L$2:$L$24,MATCH(INPUT!D139,'CCNL-appoggio'!$K$2:$K$24,0))*IF($C$28=$C$187,1-$C$83,1)</f>
        <v>16.73</v>
      </c>
      <c r="G139" s="115">
        <f>+C55*C58</f>
        <v>4289.67</v>
      </c>
      <c r="H139" s="114">
        <f>+G139*F139</f>
        <v>71766.179100000008</v>
      </c>
      <c r="I139" s="178"/>
      <c r="J139" s="178"/>
      <c r="K139" s="178"/>
      <c r="L139" s="178"/>
      <c r="M139" s="178"/>
      <c r="N139" s="178"/>
      <c r="O139" s="178"/>
      <c r="P139" s="178"/>
      <c r="Q139" s="178"/>
      <c r="R139" s="178"/>
      <c r="S139" s="178"/>
      <c r="T139" s="178"/>
      <c r="U139" s="178"/>
      <c r="V139" s="178"/>
      <c r="W139" s="178"/>
      <c r="X139" s="178"/>
      <c r="Y139" s="178"/>
      <c r="Z139" s="178"/>
      <c r="AA139" s="178"/>
      <c r="AB139" s="178"/>
      <c r="AC139" s="178"/>
      <c r="AD139" s="178"/>
      <c r="AE139" s="178"/>
      <c r="AF139" s="178"/>
      <c r="AH139" s="200">
        <f>+IF(H139&lt;&gt;0,MAX($AH$135:AH138)+1,0)</f>
        <v>3</v>
      </c>
      <c r="AI139" s="200"/>
      <c r="AJ139" s="200" t="str">
        <f t="shared" si="3"/>
        <v>Ausiliario - CCNL Cooperative - B1 (costo orario 16,73 €/ora)</v>
      </c>
    </row>
    <row r="140" spans="2:36" x14ac:dyDescent="0.25">
      <c r="B140" s="100" t="s">
        <v>218</v>
      </c>
      <c r="C140" s="100" t="str">
        <f>+C29</f>
        <v>CCNL Cooperative</v>
      </c>
      <c r="D140" s="100" t="str">
        <f>+IF(C140=$C$190,"C3/D1","C1")</f>
        <v>C3/D1</v>
      </c>
      <c r="E140" s="100"/>
      <c r="F140" s="115">
        <f>+INDEX('CCNL-appoggio'!$L$2:$L$24,MATCH(INPUT!D140,'CCNL-appoggio'!$K$2:$K$24,0))*IF($C$28=$C$187,1-$C$83,1)</f>
        <v>19.13</v>
      </c>
      <c r="G140" s="115">
        <f>+C55*C67</f>
        <v>0</v>
      </c>
      <c r="H140" s="114">
        <f>+G140*F140</f>
        <v>0</v>
      </c>
      <c r="I140" s="178"/>
      <c r="J140" s="178"/>
      <c r="K140" s="178"/>
      <c r="L140" s="178"/>
      <c r="M140" s="178"/>
      <c r="N140" s="178"/>
      <c r="O140" s="178"/>
      <c r="P140" s="178"/>
      <c r="Q140" s="178"/>
      <c r="R140" s="178"/>
      <c r="S140" s="178"/>
      <c r="T140" s="178"/>
      <c r="U140" s="178"/>
      <c r="V140" s="178"/>
      <c r="W140" s="178"/>
      <c r="X140" s="178"/>
      <c r="Y140" s="178"/>
      <c r="Z140" s="178"/>
      <c r="AA140" s="178"/>
      <c r="AB140" s="178"/>
      <c r="AC140" s="178"/>
      <c r="AD140" s="178"/>
      <c r="AE140" s="178"/>
      <c r="AF140" s="178"/>
      <c r="AH140" s="200">
        <f>+IF(H140&lt;&gt;0,MAX($AH$135:AH139)+1,0)</f>
        <v>0</v>
      </c>
      <c r="AI140" s="200"/>
      <c r="AJ140" s="200" t="str">
        <f t="shared" si="3"/>
        <v>Responsabile amministrativo - CCNL Cooperative - C3/D1 (costo orario 19,13 €/ora)</v>
      </c>
    </row>
    <row r="141" spans="2:36" x14ac:dyDescent="0.25">
      <c r="B141" s="100" t="s">
        <v>208</v>
      </c>
      <c r="C141" s="100" t="str">
        <f>+C29</f>
        <v>CCNL Cooperative</v>
      </c>
      <c r="D141" s="100" t="str">
        <f>+IF(C141=$C$190,"C1","B3")</f>
        <v>C1</v>
      </c>
      <c r="E141" s="100"/>
      <c r="F141" s="115">
        <f>+INDEX('CCNL-appoggio'!$L$2:$L$24,MATCH(INPUT!D141,'CCNL-appoggio'!$K$2:$K$24,0))*IF($C$28=$C$187,1-$C$83,1)</f>
        <v>18.02</v>
      </c>
      <c r="G141" s="115">
        <f>+C62*C55</f>
        <v>0</v>
      </c>
      <c r="H141" s="114">
        <f>+G141*F141</f>
        <v>0</v>
      </c>
      <c r="I141" s="178"/>
      <c r="J141" s="178"/>
      <c r="K141" s="178"/>
      <c r="L141" s="178"/>
      <c r="M141" s="178"/>
      <c r="N141" s="178"/>
      <c r="O141" s="178"/>
      <c r="P141" s="178"/>
      <c r="Q141" s="178"/>
      <c r="R141" s="178"/>
      <c r="S141" s="178"/>
      <c r="T141" s="178"/>
      <c r="U141" s="178"/>
      <c r="V141" s="178"/>
      <c r="W141" s="178"/>
      <c r="X141" s="178"/>
      <c r="Y141" s="178"/>
      <c r="Z141" s="178"/>
      <c r="AA141" s="178"/>
      <c r="AB141" s="178"/>
      <c r="AC141" s="178"/>
      <c r="AD141" s="178"/>
      <c r="AE141" s="178"/>
      <c r="AF141" s="178"/>
      <c r="AH141" s="200">
        <f>+IF(H141&lt;&gt;0,MAX($AH$135:AH140)+1,0)</f>
        <v>0</v>
      </c>
      <c r="AI141" s="200"/>
      <c r="AJ141" s="200" t="str">
        <f t="shared" si="3"/>
        <v>Cuoco - CCNL Cooperative - C1 (costo orario 18,02 €/ora)</v>
      </c>
    </row>
    <row r="142" spans="2:36" x14ac:dyDescent="0.25">
      <c r="B142" s="100" t="s">
        <v>217</v>
      </c>
      <c r="C142" s="100"/>
      <c r="D142" s="100"/>
      <c r="E142" s="115">
        <f>+SUM(IF(C70&gt;0,B70,0))</f>
        <v>7150</v>
      </c>
      <c r="F142" s="115"/>
      <c r="G142" s="115">
        <f>+E142</f>
        <v>7150</v>
      </c>
      <c r="H142" s="114">
        <f>E142*C70</f>
        <v>28600</v>
      </c>
      <c r="I142" s="178"/>
      <c r="J142" s="178"/>
      <c r="K142" s="178"/>
      <c r="L142" s="178"/>
      <c r="M142" s="178"/>
      <c r="N142" s="178"/>
      <c r="O142" s="178"/>
      <c r="P142" s="178"/>
      <c r="Q142" s="178"/>
      <c r="R142" s="178"/>
      <c r="S142" s="178"/>
      <c r="T142" s="178"/>
      <c r="U142" s="178"/>
      <c r="V142" s="178"/>
      <c r="W142" s="178"/>
      <c r="X142" s="178"/>
      <c r="Y142" s="178"/>
      <c r="Z142" s="178"/>
      <c r="AA142" s="178"/>
      <c r="AB142" s="178"/>
      <c r="AC142" s="178"/>
      <c r="AD142" s="178"/>
      <c r="AE142" s="178"/>
      <c r="AF142" s="178"/>
      <c r="AH142" s="200">
        <f>+IF(H142&lt;&gt;0,MAX($AH$135:AH141)+1,0)</f>
        <v>4</v>
      </c>
      <c r="AI142" s="200" t="s">
        <v>257</v>
      </c>
      <c r="AJ142" s="200" t="str">
        <f>+B142</f>
        <v>Pasti</v>
      </c>
    </row>
    <row r="143" spans="2:36" x14ac:dyDescent="0.25">
      <c r="B143" s="100" t="s">
        <v>21</v>
      </c>
      <c r="C143" s="100"/>
      <c r="D143" s="100"/>
      <c r="E143" s="101">
        <f>+IF(C78="Si",C79,0)</f>
        <v>0.01</v>
      </c>
      <c r="F143" s="100"/>
      <c r="G143" s="101">
        <f>+E143</f>
        <v>0.01</v>
      </c>
      <c r="H143" s="114">
        <f>+E143*SUM(H136:H141)</f>
        <v>1874.1568230000003</v>
      </c>
      <c r="I143" s="178"/>
      <c r="J143" s="178"/>
      <c r="K143" s="178"/>
      <c r="L143" s="178"/>
      <c r="M143" s="178"/>
      <c r="N143" s="178"/>
      <c r="O143" s="178"/>
      <c r="P143" s="178"/>
      <c r="Q143" s="178"/>
      <c r="R143" s="178"/>
      <c r="S143" s="178"/>
      <c r="T143" s="178"/>
      <c r="U143" s="178"/>
      <c r="V143" s="178"/>
      <c r="W143" s="178"/>
      <c r="X143" s="178"/>
      <c r="Y143" s="178"/>
      <c r="Z143" s="178"/>
      <c r="AA143" s="178"/>
      <c r="AB143" s="178"/>
      <c r="AC143" s="178"/>
      <c r="AD143" s="178"/>
      <c r="AE143" s="178"/>
      <c r="AF143" s="178"/>
      <c r="AH143" s="200">
        <f>+IF(H143&lt;&gt;0,MAX($AH$135:AH142)+1,0)</f>
        <v>5</v>
      </c>
      <c r="AI143" s="200" t="s">
        <v>256</v>
      </c>
      <c r="AJ143" s="200" t="str">
        <f>+B143</f>
        <v>Spese generali</v>
      </c>
    </row>
    <row r="144" spans="2:36" x14ac:dyDescent="0.25">
      <c r="B144" s="100" t="s">
        <v>331</v>
      </c>
      <c r="C144" s="100"/>
      <c r="D144" s="100"/>
      <c r="E144" s="101">
        <f>+IF(C78="Si",C80,0)</f>
        <v>0</v>
      </c>
      <c r="F144" s="100"/>
      <c r="G144" s="101">
        <f>+E144</f>
        <v>0</v>
      </c>
      <c r="H144" s="114">
        <f>+H107</f>
        <v>0</v>
      </c>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H144" s="200">
        <f>+IF(H144&lt;&gt;0,MAX($AH$135:AH143)+1,0)</f>
        <v>0</v>
      </c>
      <c r="AI144" s="200" t="s">
        <v>256</v>
      </c>
      <c r="AJ144" s="200" t="str">
        <f>+B144</f>
        <v>Spese generali aggiuntive (ex COVID-19)</v>
      </c>
    </row>
    <row r="145" spans="2:36" x14ac:dyDescent="0.25">
      <c r="B145" s="100" t="s">
        <v>265</v>
      </c>
      <c r="C145" s="100"/>
      <c r="D145" s="100"/>
      <c r="E145" s="101"/>
      <c r="F145" s="100"/>
      <c r="G145" s="101">
        <f>+C100</f>
        <v>1</v>
      </c>
      <c r="H145" s="114">
        <f>-IF(AND(C28=C188,C95=C192),SUM(H136:H143)*C100,0)</f>
        <v>0</v>
      </c>
      <c r="I145" s="178"/>
      <c r="J145" s="178"/>
      <c r="K145" s="178"/>
      <c r="L145" s="178"/>
      <c r="M145" s="178"/>
      <c r="N145" s="178"/>
      <c r="O145" s="178"/>
      <c r="P145" s="178"/>
      <c r="Q145" s="178"/>
      <c r="R145" s="178"/>
      <c r="S145" s="178"/>
      <c r="T145" s="178"/>
      <c r="U145" s="178"/>
      <c r="V145" s="178"/>
      <c r="W145" s="178"/>
      <c r="X145" s="178"/>
      <c r="Y145" s="178"/>
      <c r="Z145" s="178"/>
      <c r="AA145" s="178"/>
      <c r="AB145" s="178"/>
      <c r="AC145" s="178"/>
      <c r="AD145" s="178"/>
      <c r="AE145" s="178"/>
      <c r="AF145" s="178"/>
      <c r="AH145" s="200">
        <f>+IF(H145&lt;&gt;0,MAX($AH$135:AH144)+1,0)</f>
        <v>0</v>
      </c>
      <c r="AI145" s="200" t="s">
        <v>256</v>
      </c>
      <c r="AJ145" s="200" t="str">
        <f>+B145</f>
        <v>Abbattimento costi in ragione dei livelli di mercato</v>
      </c>
    </row>
    <row r="146" spans="2:36" x14ac:dyDescent="0.25">
      <c r="B146" s="100" t="s">
        <v>22</v>
      </c>
      <c r="C146" s="100"/>
      <c r="D146" s="100"/>
      <c r="E146" s="101">
        <f>+C91</f>
        <v>0.05</v>
      </c>
      <c r="F146" s="100"/>
      <c r="G146" s="101">
        <f>+E146</f>
        <v>0.05</v>
      </c>
      <c r="H146" s="114">
        <f>+IF(AND(C51=0,C88=C193),SUM(H136:H145)*E146,0)</f>
        <v>10894.491956150001</v>
      </c>
      <c r="I146" s="178"/>
      <c r="J146" s="178"/>
      <c r="K146" s="178"/>
      <c r="L146" s="178"/>
      <c r="M146" s="178"/>
      <c r="N146" s="178"/>
      <c r="O146" s="178"/>
      <c r="P146" s="178"/>
      <c r="Q146" s="178"/>
      <c r="R146" s="178"/>
      <c r="S146" s="178"/>
      <c r="T146" s="178"/>
      <c r="U146" s="178"/>
      <c r="V146" s="178"/>
      <c r="W146" s="178"/>
      <c r="X146" s="178"/>
      <c r="Y146" s="178"/>
      <c r="Z146" s="178"/>
      <c r="AA146" s="178"/>
      <c r="AB146" s="178"/>
      <c r="AC146" s="178"/>
      <c r="AD146" s="178"/>
      <c r="AE146" s="178"/>
      <c r="AF146" s="178"/>
      <c r="AH146" s="200">
        <f>+IF(H146&lt;&gt;0,MAX($AH$135:AH145)+1,0)</f>
        <v>6</v>
      </c>
      <c r="AI146" s="200" t="s">
        <v>256</v>
      </c>
      <c r="AJ146" s="200" t="str">
        <f>+B146</f>
        <v>IVA</v>
      </c>
    </row>
    <row r="147" spans="2:36" x14ac:dyDescent="0.25">
      <c r="B147" s="113" t="s">
        <v>171</v>
      </c>
      <c r="C147" s="100"/>
      <c r="D147" s="100"/>
      <c r="E147" s="101"/>
      <c r="F147" s="100"/>
      <c r="G147" s="100"/>
      <c r="H147" s="116">
        <f>+SUM(H136:H146)</f>
        <v>228784.33107915003</v>
      </c>
      <c r="I147" s="117"/>
      <c r="J147" s="117"/>
      <c r="K147" s="117"/>
      <c r="L147" s="117"/>
      <c r="M147" s="117"/>
      <c r="N147" s="117"/>
      <c r="O147" s="117"/>
      <c r="P147" s="117"/>
      <c r="Q147" s="117"/>
      <c r="R147" s="117"/>
      <c r="S147" s="117"/>
      <c r="T147" s="117"/>
      <c r="U147" s="117"/>
      <c r="V147" s="117"/>
      <c r="W147" s="117"/>
      <c r="X147" s="117"/>
      <c r="Y147" s="117"/>
      <c r="Z147" s="117"/>
      <c r="AA147" s="117"/>
      <c r="AB147" s="117"/>
      <c r="AC147" s="117"/>
      <c r="AD147" s="117"/>
      <c r="AE147" s="117"/>
      <c r="AF147" s="117"/>
      <c r="AH147" s="200"/>
      <c r="AI147" s="200"/>
      <c r="AJ147" s="200"/>
    </row>
    <row r="148" spans="2:36" x14ac:dyDescent="0.25">
      <c r="B148" s="100" t="s">
        <v>131</v>
      </c>
      <c r="C148" s="100"/>
      <c r="D148" s="100"/>
      <c r="E148" s="100"/>
      <c r="F148" s="100"/>
      <c r="G148" s="100"/>
      <c r="H148" s="114">
        <f>-C50*C51*C33</f>
        <v>0</v>
      </c>
      <c r="I148" s="178"/>
      <c r="J148" s="178"/>
      <c r="K148" s="178"/>
      <c r="L148" s="178"/>
      <c r="M148" s="178"/>
      <c r="N148" s="178"/>
      <c r="O148" s="178"/>
      <c r="P148" s="178"/>
      <c r="Q148" s="178"/>
      <c r="R148" s="178"/>
      <c r="S148" s="178"/>
      <c r="T148" s="178"/>
      <c r="U148" s="178"/>
      <c r="V148" s="178"/>
      <c r="W148" s="178"/>
      <c r="X148" s="178"/>
      <c r="Y148" s="178"/>
      <c r="Z148" s="178"/>
      <c r="AA148" s="178"/>
      <c r="AB148" s="178"/>
      <c r="AC148" s="178"/>
      <c r="AD148" s="178"/>
      <c r="AE148" s="178"/>
      <c r="AF148" s="178"/>
      <c r="AH148" s="200">
        <v>1</v>
      </c>
      <c r="AI148" s="200"/>
      <c r="AJ148" s="200"/>
    </row>
    <row r="149" spans="2:36" s="102" customFormat="1" x14ac:dyDescent="0.25">
      <c r="B149" s="113" t="s">
        <v>135</v>
      </c>
      <c r="C149" s="113"/>
      <c r="D149" s="113"/>
      <c r="E149" s="113"/>
      <c r="F149" s="113"/>
      <c r="G149" s="113"/>
      <c r="H149" s="116">
        <f>+H147+H148</f>
        <v>228784.33107915003</v>
      </c>
      <c r="I149" s="117"/>
      <c r="J149" s="117"/>
      <c r="K149" s="117"/>
      <c r="L149" s="117"/>
      <c r="M149" s="117"/>
      <c r="N149" s="117"/>
      <c r="O149" s="117"/>
      <c r="P149" s="117"/>
      <c r="Q149" s="117"/>
      <c r="R149" s="117"/>
      <c r="S149" s="117"/>
      <c r="T149" s="117"/>
      <c r="U149" s="117"/>
      <c r="V149" s="117"/>
      <c r="W149" s="117"/>
      <c r="X149" s="117"/>
      <c r="Y149" s="117"/>
      <c r="Z149" s="117"/>
      <c r="AA149" s="117"/>
      <c r="AB149" s="117"/>
      <c r="AC149" s="117"/>
      <c r="AD149" s="117"/>
      <c r="AE149" s="117"/>
      <c r="AF149" s="117"/>
      <c r="AG149" s="205"/>
    </row>
    <row r="150" spans="2:36" s="102" customFormat="1" x14ac:dyDescent="0.25">
      <c r="B150" s="106"/>
      <c r="C150" s="106"/>
      <c r="D150" s="106"/>
      <c r="E150" s="106"/>
      <c r="F150" s="106"/>
      <c r="G150" s="106"/>
      <c r="H150" s="117"/>
      <c r="I150" s="117"/>
      <c r="J150" s="117"/>
      <c r="K150" s="117"/>
      <c r="L150" s="117"/>
      <c r="M150" s="117"/>
      <c r="N150" s="117"/>
      <c r="O150" s="117"/>
      <c r="P150" s="117"/>
      <c r="Q150" s="117"/>
      <c r="R150" s="117"/>
      <c r="S150" s="117"/>
      <c r="T150" s="117"/>
      <c r="U150" s="117"/>
      <c r="V150" s="117"/>
      <c r="W150" s="117"/>
      <c r="X150" s="117"/>
      <c r="Y150" s="117"/>
      <c r="Z150" s="117"/>
      <c r="AA150" s="117"/>
      <c r="AB150" s="117"/>
      <c r="AC150" s="117"/>
      <c r="AD150" s="117"/>
      <c r="AE150" s="117"/>
      <c r="AF150" s="117"/>
      <c r="AG150" s="204"/>
    </row>
    <row r="151" spans="2:36" s="102" customFormat="1" x14ac:dyDescent="0.25">
      <c r="B151" s="106"/>
      <c r="C151" s="106"/>
      <c r="D151" s="106"/>
      <c r="E151" s="106"/>
      <c r="F151" s="106"/>
      <c r="G151" s="106"/>
      <c r="H151" s="117"/>
      <c r="I151" s="117"/>
      <c r="J151" s="117"/>
      <c r="AG151" s="204"/>
    </row>
    <row r="152" spans="2:36" s="102" customFormat="1" x14ac:dyDescent="0.25">
      <c r="B152" s="106"/>
      <c r="C152" s="106"/>
      <c r="D152" s="106"/>
      <c r="E152" s="106"/>
      <c r="F152" s="106"/>
      <c r="G152" s="106"/>
      <c r="H152" s="117"/>
      <c r="AG152" s="204"/>
    </row>
    <row r="153" spans="2:36" s="102" customFormat="1" x14ac:dyDescent="0.25">
      <c r="B153" s="106"/>
      <c r="C153" s="106"/>
      <c r="D153" s="106"/>
      <c r="E153" s="106"/>
      <c r="F153" s="106"/>
      <c r="G153" s="106"/>
      <c r="H153" s="117"/>
      <c r="AG153" s="204"/>
    </row>
    <row r="154" spans="2:36" s="102" customFormat="1" x14ac:dyDescent="0.25">
      <c r="B154" s="106"/>
      <c r="C154" s="106"/>
      <c r="D154" s="106"/>
      <c r="E154" s="106"/>
      <c r="F154" s="106"/>
      <c r="G154" s="106"/>
      <c r="H154" s="117"/>
      <c r="AG154" s="204"/>
    </row>
    <row r="155" spans="2:36" s="102" customFormat="1" ht="12" hidden="1" customHeight="1" x14ac:dyDescent="0.25">
      <c r="B155" s="106"/>
      <c r="C155" s="106"/>
      <c r="D155" s="106"/>
      <c r="E155" s="106"/>
      <c r="F155" s="106"/>
      <c r="G155" s="106"/>
      <c r="H155" s="117"/>
      <c r="AG155" s="204"/>
    </row>
    <row r="156" spans="2:36" hidden="1" x14ac:dyDescent="0.25"/>
    <row r="157" spans="2:36" s="97" customFormat="1" hidden="1" x14ac:dyDescent="0.25">
      <c r="C157" s="98" t="s">
        <v>74</v>
      </c>
      <c r="AG157" s="203"/>
    </row>
    <row r="158" spans="2:36" s="97" customFormat="1" hidden="1" x14ac:dyDescent="0.25">
      <c r="C158" s="98" t="s">
        <v>75</v>
      </c>
      <c r="AG158" s="203"/>
    </row>
    <row r="159" spans="2:36" s="97" customFormat="1" hidden="1" x14ac:dyDescent="0.25">
      <c r="C159" s="98" t="s">
        <v>49</v>
      </c>
      <c r="AG159" s="203"/>
    </row>
    <row r="160" spans="2:36" s="97" customFormat="1" hidden="1" x14ac:dyDescent="0.25">
      <c r="C160" s="98" t="s">
        <v>76</v>
      </c>
      <c r="AG160" s="203"/>
    </row>
    <row r="161" spans="1:33" hidden="1" x14ac:dyDescent="0.25"/>
    <row r="162" spans="1:33" s="97" customFormat="1" hidden="1" x14ac:dyDescent="0.25">
      <c r="B162" s="97">
        <v>1</v>
      </c>
      <c r="C162" s="98" t="s">
        <v>175</v>
      </c>
      <c r="AG162" s="203"/>
    </row>
    <row r="163" spans="1:33" s="97" customFormat="1" hidden="1" x14ac:dyDescent="0.25">
      <c r="B163" s="97">
        <v>2</v>
      </c>
      <c r="C163" s="98" t="s">
        <v>176</v>
      </c>
      <c r="AG163" s="203"/>
    </row>
    <row r="164" spans="1:33" hidden="1" x14ac:dyDescent="0.25"/>
    <row r="165" spans="1:33" s="97" customFormat="1" hidden="1" x14ac:dyDescent="0.25">
      <c r="C165" s="98" t="s">
        <v>187</v>
      </c>
      <c r="AG165" s="203"/>
    </row>
    <row r="166" spans="1:33" s="97" customFormat="1" hidden="1" x14ac:dyDescent="0.25">
      <c r="C166" s="98" t="s">
        <v>188</v>
      </c>
      <c r="AG166" s="203"/>
    </row>
    <row r="167" spans="1:33" s="97" customFormat="1" hidden="1" x14ac:dyDescent="0.25">
      <c r="C167" s="98" t="s">
        <v>211</v>
      </c>
      <c r="AG167" s="203"/>
    </row>
    <row r="168" spans="1:33" s="97" customFormat="1" hidden="1" x14ac:dyDescent="0.25">
      <c r="C168" s="98" t="s">
        <v>189</v>
      </c>
      <c r="AG168" s="203"/>
    </row>
    <row r="169" spans="1:33" s="97" customFormat="1" hidden="1" x14ac:dyDescent="0.25">
      <c r="A169" s="145">
        <f>+MAX(A170:A177)</f>
        <v>0</v>
      </c>
      <c r="C169" s="98"/>
      <c r="AG169" s="203"/>
    </row>
    <row r="170" spans="1:33" s="97" customFormat="1" hidden="1" x14ac:dyDescent="0.25">
      <c r="A170" s="97">
        <f>+IF($C$28=B170,1,0)</f>
        <v>0</v>
      </c>
      <c r="B170" s="98" t="str">
        <f>+$C$186</f>
        <v>appalto di servizio ex D.lgs 50/2016 e ss.mm.ii. da bandire</v>
      </c>
      <c r="C170" s="98" t="str">
        <f>+C165</f>
        <v>Servizio di nuova istituzione/utenti aggiuntivi</v>
      </c>
      <c r="AG170" s="203"/>
    </row>
    <row r="171" spans="1:33" s="97" customFormat="1" hidden="1" x14ac:dyDescent="0.25">
      <c r="A171" s="97">
        <f>+IF($C$28=B171,MAX($A$170:A170)+1,0)</f>
        <v>0</v>
      </c>
      <c r="B171" s="98" t="str">
        <f>+$C$186</f>
        <v>appalto di servizio ex D.lgs 50/2016 e ss.mm.ii. da bandire</v>
      </c>
      <c r="C171" s="98" t="str">
        <f>+C166</f>
        <v>Estensione del periodo di apertura (mensilità aggiuntive)</v>
      </c>
      <c r="AG171" s="203"/>
    </row>
    <row r="172" spans="1:33" s="97" customFormat="1" hidden="1" x14ac:dyDescent="0.25">
      <c r="A172" s="97">
        <f>+IF($C$28=B172,MAX($A$170:A171)+1,0)</f>
        <v>0</v>
      </c>
      <c r="B172" s="98" t="str">
        <f>+$C$186</f>
        <v>appalto di servizio ex D.lgs 50/2016 e ss.mm.ii. da bandire</v>
      </c>
      <c r="C172" s="98" t="str">
        <f>+C167</f>
        <v>Estensione dell'orario di servizio (maggiore orario settimanale)</v>
      </c>
      <c r="AG172" s="203"/>
    </row>
    <row r="173" spans="1:33" s="97" customFormat="1" hidden="1" x14ac:dyDescent="0.25">
      <c r="A173" s="97">
        <f>+IF($C$28=B173,MAX($A$170:A172)+1,0)</f>
        <v>0</v>
      </c>
      <c r="B173" s="98" t="str">
        <f>+$C$186</f>
        <v>appalto di servizio ex D.lgs 50/2016 e ss.mm.ii. da bandire</v>
      </c>
      <c r="C173" s="98" t="str">
        <f>+C168</f>
        <v>Sostegno alla gestione di servizi ed utenti già attivati</v>
      </c>
      <c r="AG173" s="203"/>
    </row>
    <row r="174" spans="1:33" s="97" customFormat="1" hidden="1" x14ac:dyDescent="0.25">
      <c r="A174" s="97">
        <f>+IF($C$28=B174,MAX($A$170:A173)+1,0)</f>
        <v>0</v>
      </c>
      <c r="B174" s="98" t="str">
        <f>+$C$187</f>
        <v>appalto di servizio già aggiudicato</v>
      </c>
      <c r="C174" s="98" t="str">
        <f>+C168</f>
        <v>Sostegno alla gestione di servizi ed utenti già attivati</v>
      </c>
      <c r="AG174" s="203"/>
    </row>
    <row r="175" spans="1:33" s="97" customFormat="1" hidden="1" x14ac:dyDescent="0.25">
      <c r="A175" s="97">
        <f>+IF($C$28=B175,MAX($A$170:A174)+1,0)</f>
        <v>0</v>
      </c>
      <c r="B175" s="98" t="str">
        <f>+$C$187</f>
        <v>appalto di servizio già aggiudicato</v>
      </c>
      <c r="C175" s="98" t="str">
        <f>+C165</f>
        <v>Servizio di nuova istituzione/utenti aggiuntivi</v>
      </c>
      <c r="AG175" s="203"/>
    </row>
    <row r="176" spans="1:33" s="97" customFormat="1" hidden="1" x14ac:dyDescent="0.25">
      <c r="A176" s="97">
        <f>+IF($C$28=B176,MAX($A$170:A175)+1,0)</f>
        <v>0</v>
      </c>
      <c r="B176" s="98" t="str">
        <f>+$C$187</f>
        <v>appalto di servizio già aggiudicato</v>
      </c>
      <c r="C176" s="98" t="str">
        <f>+C166</f>
        <v>Estensione del periodo di apertura (mensilità aggiuntive)</v>
      </c>
      <c r="AG176" s="203"/>
    </row>
    <row r="177" spans="1:33" s="97" customFormat="1" hidden="1" x14ac:dyDescent="0.25">
      <c r="A177" s="97">
        <f>+IF($C$28=B177,MAX($A$170:A176)+1,0)</f>
        <v>0</v>
      </c>
      <c r="B177" s="98" t="str">
        <f>+$C$187</f>
        <v>appalto di servizio già aggiudicato</v>
      </c>
      <c r="C177" s="98" t="str">
        <f>+C167</f>
        <v>Estensione dell'orario di servizio (maggiore orario settimanale)</v>
      </c>
      <c r="AG177" s="203"/>
    </row>
    <row r="178" spans="1:33" s="97" customFormat="1" hidden="1" x14ac:dyDescent="0.25">
      <c r="C178" s="98"/>
      <c r="AG178" s="203"/>
    </row>
    <row r="179" spans="1:33" s="97" customFormat="1" hidden="1" x14ac:dyDescent="0.25">
      <c r="A179" s="97">
        <v>1</v>
      </c>
      <c r="B179" s="97" t="str">
        <f>+IF(ISERROR(INDEX($C$170:$C$177,MATCH(A179,$A$170:$A$177,0))),"",INDEX($C$170:$C$177,MATCH(A179,$A$170:$A$177,0)))</f>
        <v/>
      </c>
      <c r="C179" s="98"/>
      <c r="AG179" s="203"/>
    </row>
    <row r="180" spans="1:33" s="97" customFormat="1" hidden="1" x14ac:dyDescent="0.25">
      <c r="A180" s="97">
        <v>2</v>
      </c>
      <c r="B180" s="97" t="str">
        <f>+IF(ISERROR(INDEX($C$170:$C$177,MATCH(A180,$A$170:$A$177,0))),"",INDEX($C$170:$C$177,MATCH(A180,$A$170:$A$177,0)))</f>
        <v/>
      </c>
      <c r="C180" s="98"/>
      <c r="AG180" s="203"/>
    </row>
    <row r="181" spans="1:33" s="97" customFormat="1" hidden="1" x14ac:dyDescent="0.25">
      <c r="A181" s="97">
        <v>3</v>
      </c>
      <c r="B181" s="97" t="str">
        <f>+IF(ISERROR(INDEX($C$170:$C$177,MATCH(A181,$A$170:$A$177,0))),"",INDEX($C$170:$C$177,MATCH(A181,$A$170:$A$177,0)))</f>
        <v/>
      </c>
      <c r="C181" s="98"/>
      <c r="AG181" s="203"/>
    </row>
    <row r="182" spans="1:33" s="97" customFormat="1" hidden="1" x14ac:dyDescent="0.25">
      <c r="A182" s="97">
        <v>4</v>
      </c>
      <c r="B182" s="97" t="str">
        <f>+IF(ISERROR(INDEX($C$170:$C$177,MATCH(A182,$A$170:$A$177,0))),"",INDEX($C$170:$C$177,MATCH(A182,$A$170:$A$177,0)))</f>
        <v/>
      </c>
      <c r="C182" s="98"/>
      <c r="AG182" s="203"/>
    </row>
    <row r="183" spans="1:33" s="97" customFormat="1" hidden="1" x14ac:dyDescent="0.25">
      <c r="C183" s="98"/>
      <c r="AG183" s="203"/>
    </row>
    <row r="184" spans="1:33" s="97" customFormat="1" hidden="1" x14ac:dyDescent="0.25">
      <c r="C184" s="98"/>
      <c r="AG184" s="203"/>
    </row>
    <row r="185" spans="1:33" hidden="1" x14ac:dyDescent="0.25"/>
    <row r="186" spans="1:33" s="97" customFormat="1" hidden="1" x14ac:dyDescent="0.25">
      <c r="C186" s="98" t="s">
        <v>296</v>
      </c>
      <c r="AG186" s="203"/>
    </row>
    <row r="187" spans="1:33" s="97" customFormat="1" hidden="1" x14ac:dyDescent="0.25">
      <c r="C187" s="98" t="s">
        <v>297</v>
      </c>
      <c r="AG187" s="203"/>
    </row>
    <row r="188" spans="1:33" s="97" customFormat="1" hidden="1" x14ac:dyDescent="0.25">
      <c r="C188" s="98" t="s">
        <v>258</v>
      </c>
      <c r="AG188" s="203"/>
    </row>
    <row r="189" spans="1:33" hidden="1" x14ac:dyDescent="0.25"/>
    <row r="190" spans="1:33" s="97" customFormat="1" hidden="1" x14ac:dyDescent="0.25">
      <c r="C190" s="98" t="s">
        <v>46</v>
      </c>
      <c r="D190" s="234" t="s">
        <v>301</v>
      </c>
      <c r="E190" s="234" t="s">
        <v>301</v>
      </c>
      <c r="F190" s="234" t="s">
        <v>301</v>
      </c>
      <c r="G190" s="234" t="s">
        <v>301</v>
      </c>
      <c r="AG190" s="203"/>
    </row>
    <row r="191" spans="1:33" hidden="1" x14ac:dyDescent="0.25"/>
    <row r="192" spans="1:33" s="97" customFormat="1" hidden="1" x14ac:dyDescent="0.25">
      <c r="C192" s="98" t="s">
        <v>52</v>
      </c>
      <c r="AG192" s="203"/>
    </row>
    <row r="193" spans="1:33" s="97" customFormat="1" hidden="1" x14ac:dyDescent="0.25">
      <c r="C193" s="98" t="s">
        <v>77</v>
      </c>
      <c r="AG193" s="203"/>
    </row>
    <row r="194" spans="1:33" hidden="1" x14ac:dyDescent="0.25"/>
    <row r="195" spans="1:33" s="97" customFormat="1" hidden="1" x14ac:dyDescent="0.25">
      <c r="C195" s="105">
        <v>0</v>
      </c>
      <c r="AG195" s="203"/>
    </row>
    <row r="196" spans="1:33" s="97" customFormat="1" hidden="1" x14ac:dyDescent="0.25">
      <c r="C196" s="105">
        <v>0.05</v>
      </c>
      <c r="AG196" s="203"/>
    </row>
    <row r="197" spans="1:33" s="97" customFormat="1" hidden="1" x14ac:dyDescent="0.25">
      <c r="C197" s="105">
        <v>0.22</v>
      </c>
      <c r="AG197" s="203"/>
    </row>
    <row r="198" spans="1:33" hidden="1" x14ac:dyDescent="0.25"/>
    <row r="199" spans="1:33" s="125" customFormat="1" hidden="1" x14ac:dyDescent="0.25">
      <c r="AG199" s="203"/>
    </row>
    <row r="200" spans="1:33" s="125" customFormat="1" hidden="1" x14ac:dyDescent="0.25">
      <c r="AG200" s="203"/>
    </row>
    <row r="201" spans="1:33" s="125" customFormat="1" hidden="1" x14ac:dyDescent="0.25">
      <c r="AG201" s="203"/>
    </row>
    <row r="202" spans="1:33" s="125" customFormat="1" hidden="1" x14ac:dyDescent="0.25">
      <c r="AG202" s="203"/>
    </row>
    <row r="203" spans="1:33" s="127" customFormat="1" ht="30" hidden="1" x14ac:dyDescent="0.25">
      <c r="A203" s="127">
        <f>+MAX(A204:A219)</f>
        <v>2</v>
      </c>
      <c r="B203" s="128" t="s">
        <v>48</v>
      </c>
      <c r="C203" s="128" t="s">
        <v>162</v>
      </c>
      <c r="D203" s="128" t="s">
        <v>177</v>
      </c>
      <c r="E203" s="128" t="s">
        <v>225</v>
      </c>
      <c r="F203" s="128" t="s">
        <v>226</v>
      </c>
      <c r="G203" s="128" t="s">
        <v>227</v>
      </c>
      <c r="H203" s="128" t="s">
        <v>207</v>
      </c>
      <c r="I203" s="128" t="s">
        <v>185</v>
      </c>
      <c r="J203" s="128" t="s">
        <v>186</v>
      </c>
      <c r="K203" s="128" t="s">
        <v>219</v>
      </c>
      <c r="L203" s="128" t="s">
        <v>220</v>
      </c>
      <c r="M203" s="128" t="s">
        <v>221</v>
      </c>
      <c r="N203" s="128" t="s">
        <v>222</v>
      </c>
      <c r="O203" s="128" t="s">
        <v>223</v>
      </c>
      <c r="P203" s="128"/>
      <c r="Q203" s="128"/>
      <c r="R203" s="128"/>
      <c r="S203" s="128"/>
      <c r="T203" s="128"/>
      <c r="U203" s="128"/>
      <c r="V203" s="128"/>
      <c r="W203" s="128"/>
      <c r="X203" s="128"/>
      <c r="Y203" s="128" t="s">
        <v>224</v>
      </c>
      <c r="Z203" s="219"/>
      <c r="AA203" s="219"/>
      <c r="AB203" s="219"/>
      <c r="AC203" s="219"/>
      <c r="AD203" s="219"/>
      <c r="AE203" s="219"/>
      <c r="AG203" s="202"/>
    </row>
    <row r="204" spans="1:33" s="125" customFormat="1" hidden="1" x14ac:dyDescent="0.25">
      <c r="A204" s="125">
        <f>+IF(AND(B204=$C$2,C204=$C$12),1,0)</f>
        <v>0</v>
      </c>
      <c r="B204" s="129" t="str">
        <f>+C157</f>
        <v>Calabria</v>
      </c>
      <c r="C204" s="129" t="str">
        <f>+$C$162</f>
        <v>Nido / Micro-nido</v>
      </c>
      <c r="D204" s="129" t="str">
        <f>+$C$162</f>
        <v>Nido / Micro-nido</v>
      </c>
      <c r="E204" s="130">
        <v>6</v>
      </c>
      <c r="F204" s="130">
        <v>7</v>
      </c>
      <c r="G204" s="130">
        <v>10</v>
      </c>
      <c r="H204" s="138">
        <f>+AVERAGE(E204:G204)</f>
        <v>7.666666666666667</v>
      </c>
      <c r="I204" s="131">
        <v>0</v>
      </c>
      <c r="J204" s="130">
        <v>24</v>
      </c>
      <c r="K204" s="130"/>
      <c r="L204" s="130"/>
      <c r="M204" s="142">
        <v>6</v>
      </c>
      <c r="N204" s="142">
        <v>12</v>
      </c>
      <c r="O204" s="141">
        <v>5</v>
      </c>
      <c r="P204" s="141"/>
      <c r="Q204" s="141"/>
      <c r="R204" s="141"/>
      <c r="S204" s="141"/>
      <c r="T204" s="141"/>
      <c r="U204" s="141"/>
      <c r="V204" s="141"/>
      <c r="W204" s="141"/>
      <c r="X204" s="141"/>
      <c r="Y204" s="141">
        <v>6</v>
      </c>
      <c r="Z204" s="220"/>
      <c r="AA204" s="220"/>
      <c r="AB204" s="220"/>
      <c r="AC204" s="220"/>
      <c r="AD204" s="220"/>
      <c r="AE204" s="220"/>
      <c r="AG204" s="203"/>
    </row>
    <row r="205" spans="1:33" s="125" customFormat="1" hidden="1" x14ac:dyDescent="0.25">
      <c r="A205" s="125">
        <f>+IF(AND(B205=$C$2,C205=$C$12),MAX($A$204:A204)+1,0)</f>
        <v>0</v>
      </c>
      <c r="B205" s="129" t="str">
        <f>+B204</f>
        <v>Calabria</v>
      </c>
      <c r="C205" s="129" t="str">
        <f>+$C$162</f>
        <v>Nido / Micro-nido</v>
      </c>
      <c r="D205" s="130" t="s">
        <v>183</v>
      </c>
      <c r="E205" s="130">
        <v>0</v>
      </c>
      <c r="F205" s="130">
        <v>0</v>
      </c>
      <c r="G205" s="130">
        <v>10</v>
      </c>
      <c r="H205" s="130">
        <v>10</v>
      </c>
      <c r="I205" s="130"/>
      <c r="J205" s="130">
        <v>24</v>
      </c>
      <c r="K205" s="130"/>
      <c r="L205" s="130"/>
      <c r="M205" s="142">
        <v>5</v>
      </c>
      <c r="N205" s="142">
        <v>12</v>
      </c>
      <c r="O205" s="141">
        <v>5</v>
      </c>
      <c r="P205" s="141"/>
      <c r="Q205" s="141"/>
      <c r="R205" s="141"/>
      <c r="S205" s="141"/>
      <c r="T205" s="141"/>
      <c r="U205" s="141"/>
      <c r="V205" s="141"/>
      <c r="W205" s="141"/>
      <c r="X205" s="141"/>
      <c r="Y205" s="141">
        <v>6</v>
      </c>
      <c r="Z205" s="220"/>
      <c r="AA205" s="220"/>
      <c r="AB205" s="220"/>
      <c r="AC205" s="220"/>
      <c r="AD205" s="220"/>
      <c r="AE205" s="220"/>
      <c r="AG205" s="203"/>
    </row>
    <row r="206" spans="1:33" s="125" customFormat="1" hidden="1" x14ac:dyDescent="0.25">
      <c r="A206" s="125">
        <f>+IF(AND(B206=$C$2,C206=$C$12),MAX($A$204:A205)+1,0)</f>
        <v>0</v>
      </c>
      <c r="B206" s="129" t="str">
        <f>+B205</f>
        <v>Calabria</v>
      </c>
      <c r="C206" s="129" t="str">
        <f>+$C$163</f>
        <v>Servizi integrativi</v>
      </c>
      <c r="D206" s="130" t="s">
        <v>178</v>
      </c>
      <c r="E206" s="130">
        <v>10</v>
      </c>
      <c r="F206" s="130">
        <v>10</v>
      </c>
      <c r="G206" s="130">
        <v>10</v>
      </c>
      <c r="H206" s="130">
        <f t="shared" ref="H206:H219" si="4">+AVERAGE(E206:G206)</f>
        <v>10</v>
      </c>
      <c r="I206" s="130"/>
      <c r="J206" s="130">
        <v>0</v>
      </c>
      <c r="K206" s="130"/>
      <c r="L206" s="130"/>
      <c r="M206" s="142">
        <v>1</v>
      </c>
      <c r="N206" s="142">
        <v>5</v>
      </c>
      <c r="O206" s="141">
        <v>2</v>
      </c>
      <c r="P206" s="141"/>
      <c r="Q206" s="141"/>
      <c r="R206" s="141"/>
      <c r="S206" s="141"/>
      <c r="T206" s="141"/>
      <c r="U206" s="141"/>
      <c r="V206" s="141"/>
      <c r="W206" s="141"/>
      <c r="X206" s="141"/>
      <c r="Y206" s="141">
        <v>6</v>
      </c>
      <c r="Z206" s="220"/>
      <c r="AA206" s="220"/>
      <c r="AB206" s="220"/>
      <c r="AC206" s="220"/>
      <c r="AD206" s="220"/>
      <c r="AE206" s="220"/>
      <c r="AG206" s="203"/>
    </row>
    <row r="207" spans="1:33" s="125" customFormat="1" hidden="1" x14ac:dyDescent="0.25">
      <c r="A207" s="125">
        <f>+IF(AND(B207=$C$2,C207=$C$12),MAX($A$204:A206)+1,0)</f>
        <v>0</v>
      </c>
      <c r="B207" s="129" t="str">
        <f>+B206</f>
        <v>Calabria</v>
      </c>
      <c r="C207" s="129" t="str">
        <f>+$C$163</f>
        <v>Servizi integrativi</v>
      </c>
      <c r="D207" s="130" t="s">
        <v>179</v>
      </c>
      <c r="E207" s="130">
        <v>10</v>
      </c>
      <c r="F207" s="130">
        <v>10</v>
      </c>
      <c r="G207" s="130">
        <v>10</v>
      </c>
      <c r="H207" s="130">
        <f t="shared" si="4"/>
        <v>10</v>
      </c>
      <c r="I207" s="130"/>
      <c r="J207" s="130">
        <v>25</v>
      </c>
      <c r="K207" s="130"/>
      <c r="L207" s="130"/>
      <c r="M207" s="142">
        <v>1</v>
      </c>
      <c r="N207" s="142">
        <v>5</v>
      </c>
      <c r="O207" s="141">
        <v>1</v>
      </c>
      <c r="P207" s="141"/>
      <c r="Q207" s="141"/>
      <c r="R207" s="141"/>
      <c r="S207" s="141"/>
      <c r="T207" s="141"/>
      <c r="U207" s="141"/>
      <c r="V207" s="141"/>
      <c r="W207" s="141"/>
      <c r="X207" s="141"/>
      <c r="Y207" s="141">
        <v>6</v>
      </c>
      <c r="Z207" s="220"/>
      <c r="AA207" s="220"/>
      <c r="AB207" s="220"/>
      <c r="AC207" s="220"/>
      <c r="AD207" s="220"/>
      <c r="AE207" s="220"/>
      <c r="AG207" s="203"/>
    </row>
    <row r="208" spans="1:33" s="125" customFormat="1" hidden="1" x14ac:dyDescent="0.25">
      <c r="A208" s="125">
        <f>+IF(AND(B208=$C$2,C208=$C$12),MAX($A$204:A207)+1,0)</f>
        <v>0</v>
      </c>
      <c r="B208" s="129" t="str">
        <f>+C158</f>
        <v>Campania</v>
      </c>
      <c r="C208" s="129" t="str">
        <f>+$C$162</f>
        <v>Nido / Micro-nido</v>
      </c>
      <c r="D208" s="129" t="str">
        <f>+$C$162</f>
        <v>Nido / Micro-nido</v>
      </c>
      <c r="E208" s="130">
        <v>5</v>
      </c>
      <c r="F208" s="130">
        <v>8</v>
      </c>
      <c r="G208" s="130">
        <v>10</v>
      </c>
      <c r="H208" s="130">
        <f t="shared" si="4"/>
        <v>7.666666666666667</v>
      </c>
      <c r="I208" s="131">
        <v>0.3</v>
      </c>
      <c r="J208" s="130">
        <v>20</v>
      </c>
      <c r="K208" s="130"/>
      <c r="L208" s="130"/>
      <c r="M208" s="142">
        <v>5</v>
      </c>
      <c r="N208" s="142">
        <v>10</v>
      </c>
      <c r="O208" s="141">
        <v>5</v>
      </c>
      <c r="P208" s="141"/>
      <c r="Q208" s="141"/>
      <c r="R208" s="141"/>
      <c r="S208" s="141"/>
      <c r="T208" s="141"/>
      <c r="U208" s="141"/>
      <c r="V208" s="141"/>
      <c r="W208" s="141"/>
      <c r="X208" s="141"/>
      <c r="Y208" s="141">
        <v>6</v>
      </c>
      <c r="Z208" s="220"/>
      <c r="AA208" s="220"/>
      <c r="AB208" s="220"/>
      <c r="AC208" s="220"/>
      <c r="AD208" s="220"/>
      <c r="AE208" s="220"/>
      <c r="AG208" s="203"/>
    </row>
    <row r="209" spans="1:33" s="125" customFormat="1" hidden="1" x14ac:dyDescent="0.25">
      <c r="A209" s="125">
        <f>+IF(AND(B209=$C$2,C209=$C$12),MAX($A$204:A208)+1,0)</f>
        <v>0</v>
      </c>
      <c r="B209" s="129" t="str">
        <f>+B208</f>
        <v>Campania</v>
      </c>
      <c r="C209" s="129" t="str">
        <f>+$C$162</f>
        <v>Nido / Micro-nido</v>
      </c>
      <c r="D209" s="130" t="s">
        <v>183</v>
      </c>
      <c r="E209" s="130">
        <v>0</v>
      </c>
      <c r="F209" s="130">
        <v>0</v>
      </c>
      <c r="G209" s="130">
        <v>10</v>
      </c>
      <c r="H209" s="130">
        <v>10</v>
      </c>
      <c r="I209" s="131">
        <v>0.3</v>
      </c>
      <c r="J209" s="130">
        <v>20</v>
      </c>
      <c r="K209" s="130"/>
      <c r="L209" s="130"/>
      <c r="M209" s="142">
        <v>5</v>
      </c>
      <c r="N209" s="142">
        <v>8</v>
      </c>
      <c r="O209" s="141">
        <v>5</v>
      </c>
      <c r="P209" s="141"/>
      <c r="Q209" s="141"/>
      <c r="R209" s="141"/>
      <c r="S209" s="141"/>
      <c r="T209" s="141"/>
      <c r="U209" s="141"/>
      <c r="V209" s="141"/>
      <c r="W209" s="141"/>
      <c r="X209" s="141"/>
      <c r="Y209" s="141">
        <v>6</v>
      </c>
      <c r="Z209" s="220"/>
      <c r="AA209" s="220"/>
      <c r="AB209" s="220"/>
      <c r="AC209" s="220"/>
      <c r="AD209" s="220"/>
      <c r="AE209" s="220"/>
      <c r="AG209" s="203"/>
    </row>
    <row r="210" spans="1:33" s="125" customFormat="1" hidden="1" x14ac:dyDescent="0.25">
      <c r="A210" s="125">
        <f>+IF(AND(B210=$C$2,C210=$C$12),MAX($A$204:A209)+1,0)</f>
        <v>0</v>
      </c>
      <c r="B210" s="129" t="str">
        <f>+B209</f>
        <v>Campania</v>
      </c>
      <c r="C210" s="129" t="str">
        <f>+$C$163</f>
        <v>Servizi integrativi</v>
      </c>
      <c r="D210" s="130" t="s">
        <v>180</v>
      </c>
      <c r="E210" s="130">
        <v>5</v>
      </c>
      <c r="F210" s="130">
        <v>8</v>
      </c>
      <c r="G210" s="130">
        <v>10</v>
      </c>
      <c r="H210" s="130">
        <f t="shared" si="4"/>
        <v>7.666666666666667</v>
      </c>
      <c r="I210" s="131">
        <v>0.3</v>
      </c>
      <c r="J210" s="130">
        <v>20</v>
      </c>
      <c r="K210" s="130"/>
      <c r="L210" s="130"/>
      <c r="M210" s="142">
        <v>1</v>
      </c>
      <c r="N210" s="142">
        <v>3</v>
      </c>
      <c r="O210" s="141">
        <v>1</v>
      </c>
      <c r="P210" s="141"/>
      <c r="Q210" s="141"/>
      <c r="R210" s="141"/>
      <c r="S210" s="141"/>
      <c r="T210" s="141"/>
      <c r="U210" s="141"/>
      <c r="V210" s="141"/>
      <c r="W210" s="141"/>
      <c r="X210" s="141"/>
      <c r="Y210" s="141">
        <v>6</v>
      </c>
      <c r="Z210" s="220"/>
      <c r="AA210" s="220"/>
      <c r="AB210" s="220"/>
      <c r="AC210" s="220"/>
      <c r="AD210" s="220"/>
      <c r="AE210" s="220"/>
      <c r="AG210" s="203"/>
    </row>
    <row r="211" spans="1:33" s="125" customFormat="1" hidden="1" x14ac:dyDescent="0.25">
      <c r="A211" s="125">
        <f>+IF(AND(B211=$C$2,C211=$C$12),MAX($A$204:A210)+1,0)</f>
        <v>0</v>
      </c>
      <c r="B211" s="129" t="str">
        <f>+B210</f>
        <v>Campania</v>
      </c>
      <c r="C211" s="129" t="str">
        <f>+$C$163</f>
        <v>Servizi integrativi</v>
      </c>
      <c r="D211" s="130" t="s">
        <v>181</v>
      </c>
      <c r="E211" s="130">
        <v>15</v>
      </c>
      <c r="F211" s="130">
        <v>15</v>
      </c>
      <c r="G211" s="130">
        <v>15</v>
      </c>
      <c r="H211" s="130">
        <f t="shared" si="4"/>
        <v>15</v>
      </c>
      <c r="I211" s="131">
        <v>0.3</v>
      </c>
      <c r="J211" s="130">
        <v>20</v>
      </c>
      <c r="K211" s="130"/>
      <c r="L211" s="130"/>
      <c r="M211" s="142">
        <v>1</v>
      </c>
      <c r="N211" s="142">
        <v>3</v>
      </c>
      <c r="O211" s="141">
        <v>1</v>
      </c>
      <c r="P211" s="141"/>
      <c r="Q211" s="141"/>
      <c r="R211" s="141"/>
      <c r="S211" s="141"/>
      <c r="T211" s="141"/>
      <c r="U211" s="141"/>
      <c r="V211" s="141"/>
      <c r="W211" s="141"/>
      <c r="X211" s="141"/>
      <c r="Y211" s="141">
        <v>6</v>
      </c>
      <c r="Z211" s="220"/>
      <c r="AA211" s="220"/>
      <c r="AB211" s="220"/>
      <c r="AC211" s="220"/>
      <c r="AD211" s="220"/>
      <c r="AE211" s="220"/>
      <c r="AG211" s="203"/>
    </row>
    <row r="212" spans="1:33" s="125" customFormat="1" hidden="1" x14ac:dyDescent="0.25">
      <c r="A212" s="125">
        <f>+IF(AND(B212=$C$2,C212=$C$12),MAX($A$204:A211)+1,0)</f>
        <v>0</v>
      </c>
      <c r="B212" s="129" t="str">
        <f>+B211</f>
        <v>Campania</v>
      </c>
      <c r="C212" s="129" t="str">
        <f>+$C$163</f>
        <v>Servizi integrativi</v>
      </c>
      <c r="D212" s="130" t="s">
        <v>182</v>
      </c>
      <c r="E212" s="130">
        <v>5</v>
      </c>
      <c r="F212" s="130">
        <v>5</v>
      </c>
      <c r="G212" s="130">
        <v>8</v>
      </c>
      <c r="H212" s="130">
        <f t="shared" si="4"/>
        <v>6</v>
      </c>
      <c r="I212" s="131">
        <v>0.3</v>
      </c>
      <c r="J212" s="130">
        <v>20</v>
      </c>
      <c r="K212" s="130"/>
      <c r="L212" s="130"/>
      <c r="M212" s="142">
        <v>1</v>
      </c>
      <c r="N212" s="142">
        <v>4</v>
      </c>
      <c r="O212" s="141">
        <v>1</v>
      </c>
      <c r="P212" s="141"/>
      <c r="Q212" s="141"/>
      <c r="R212" s="141"/>
      <c r="S212" s="141"/>
      <c r="T212" s="141"/>
      <c r="U212" s="141"/>
      <c r="V212" s="141"/>
      <c r="W212" s="141"/>
      <c r="X212" s="141"/>
      <c r="Y212" s="141">
        <v>6</v>
      </c>
      <c r="Z212" s="220"/>
      <c r="AA212" s="220"/>
      <c r="AB212" s="220"/>
      <c r="AC212" s="220"/>
      <c r="AD212" s="220"/>
      <c r="AE212" s="220"/>
      <c r="AG212" s="203"/>
    </row>
    <row r="213" spans="1:33" s="125" customFormat="1" hidden="1" x14ac:dyDescent="0.25">
      <c r="A213" s="125">
        <f>+IF(AND(B213=$C$2,C213=$C$12),MAX($A$204:A212)+1,0)</f>
        <v>1</v>
      </c>
      <c r="B213" s="129" t="str">
        <f>+C159</f>
        <v>Sicilia</v>
      </c>
      <c r="C213" s="129" t="str">
        <f>+$C$162</f>
        <v>Nido / Micro-nido</v>
      </c>
      <c r="D213" s="129" t="str">
        <f>+$C$162</f>
        <v>Nido / Micro-nido</v>
      </c>
      <c r="E213" s="130">
        <v>6</v>
      </c>
      <c r="F213" s="130">
        <v>8</v>
      </c>
      <c r="G213" s="130">
        <v>10</v>
      </c>
      <c r="H213" s="130">
        <f t="shared" si="4"/>
        <v>8</v>
      </c>
      <c r="I213" s="130"/>
      <c r="J213" s="130">
        <v>13</v>
      </c>
      <c r="K213" s="130"/>
      <c r="L213" s="130"/>
      <c r="M213" s="142">
        <v>6</v>
      </c>
      <c r="N213" s="142">
        <v>12</v>
      </c>
      <c r="O213" s="141">
        <v>5</v>
      </c>
      <c r="P213" s="141"/>
      <c r="Q213" s="141"/>
      <c r="R213" s="141"/>
      <c r="S213" s="141"/>
      <c r="T213" s="141"/>
      <c r="U213" s="141"/>
      <c r="V213" s="141"/>
      <c r="W213" s="141"/>
      <c r="X213" s="141"/>
      <c r="Y213" s="141">
        <v>6</v>
      </c>
      <c r="Z213" s="220"/>
      <c r="AA213" s="220"/>
      <c r="AB213" s="220"/>
      <c r="AC213" s="220"/>
      <c r="AD213" s="220"/>
      <c r="AE213" s="220"/>
      <c r="AG213" s="203"/>
    </row>
    <row r="214" spans="1:33" s="125" customFormat="1" hidden="1" x14ac:dyDescent="0.25">
      <c r="A214" s="125">
        <f>+IF(AND(B214=$C$2,C214=$C$12),MAX($A$204:A213)+1,0)</f>
        <v>2</v>
      </c>
      <c r="B214" s="129" t="str">
        <f>+B213</f>
        <v>Sicilia</v>
      </c>
      <c r="C214" s="129" t="str">
        <f>+$C$162</f>
        <v>Nido / Micro-nido</v>
      </c>
      <c r="D214" s="129" t="str">
        <f>+D205</f>
        <v>Sezioni Primavera</v>
      </c>
      <c r="E214" s="130">
        <v>0</v>
      </c>
      <c r="F214" s="130">
        <v>0</v>
      </c>
      <c r="G214" s="130">
        <v>10</v>
      </c>
      <c r="H214" s="130">
        <v>10</v>
      </c>
      <c r="I214" s="130"/>
      <c r="J214" s="130">
        <v>13</v>
      </c>
      <c r="K214" s="130"/>
      <c r="L214" s="130"/>
      <c r="M214" s="142">
        <v>5</v>
      </c>
      <c r="N214" s="142">
        <v>8</v>
      </c>
      <c r="O214" s="141">
        <v>5</v>
      </c>
      <c r="P214" s="141"/>
      <c r="Q214" s="141"/>
      <c r="R214" s="141"/>
      <c r="S214" s="141"/>
      <c r="T214" s="141"/>
      <c r="U214" s="141"/>
      <c r="V214" s="141"/>
      <c r="W214" s="141"/>
      <c r="X214" s="141"/>
      <c r="Y214" s="141">
        <v>6</v>
      </c>
      <c r="Z214" s="220"/>
      <c r="AA214" s="220"/>
      <c r="AB214" s="220"/>
      <c r="AC214" s="220"/>
      <c r="AD214" s="220"/>
      <c r="AE214" s="220"/>
      <c r="AG214" s="203"/>
    </row>
    <row r="215" spans="1:33" s="125" customFormat="1" hidden="1" x14ac:dyDescent="0.25">
      <c r="A215" s="125">
        <f>+IF(AND(B215=$C$2,C215=$C$12),MAX($A$204:A214)+1,0)</f>
        <v>0</v>
      </c>
      <c r="B215" s="129" t="str">
        <f>+B213</f>
        <v>Sicilia</v>
      </c>
      <c r="C215" s="129" t="str">
        <f>+$C$163</f>
        <v>Servizi integrativi</v>
      </c>
      <c r="D215" s="130" t="s">
        <v>179</v>
      </c>
      <c r="E215" s="130">
        <v>0</v>
      </c>
      <c r="F215" s="130">
        <v>10</v>
      </c>
      <c r="G215" s="130">
        <v>10</v>
      </c>
      <c r="H215" s="130">
        <v>10</v>
      </c>
      <c r="I215" s="130"/>
      <c r="J215" s="130">
        <v>25</v>
      </c>
      <c r="K215" s="130"/>
      <c r="L215" s="130"/>
      <c r="M215" s="142">
        <v>1</v>
      </c>
      <c r="N215" s="142">
        <v>5</v>
      </c>
      <c r="O215" s="141">
        <v>3</v>
      </c>
      <c r="P215" s="141"/>
      <c r="Q215" s="141"/>
      <c r="R215" s="141"/>
      <c r="S215" s="141"/>
      <c r="T215" s="141"/>
      <c r="U215" s="141"/>
      <c r="V215" s="141"/>
      <c r="W215" s="141"/>
      <c r="X215" s="141"/>
      <c r="Y215" s="141">
        <v>6</v>
      </c>
      <c r="Z215" s="220"/>
      <c r="AA215" s="220"/>
      <c r="AB215" s="220"/>
      <c r="AC215" s="220"/>
      <c r="AD215" s="220"/>
      <c r="AE215" s="220"/>
      <c r="AG215" s="203"/>
    </row>
    <row r="216" spans="1:33" s="125" customFormat="1" hidden="1" x14ac:dyDescent="0.25">
      <c r="A216" s="125">
        <f>+IF(AND(B216=$C$2,C216=$C$12),MAX($A$204:A215)+1,0)</f>
        <v>0</v>
      </c>
      <c r="B216" s="129" t="str">
        <f>+B215</f>
        <v>Sicilia</v>
      </c>
      <c r="C216" s="129" t="str">
        <f>+$C$163</f>
        <v>Servizi integrativi</v>
      </c>
      <c r="D216" s="130" t="s">
        <v>178</v>
      </c>
      <c r="E216" s="130">
        <v>15</v>
      </c>
      <c r="F216" s="130">
        <v>15</v>
      </c>
      <c r="G216" s="130">
        <v>15</v>
      </c>
      <c r="H216" s="130">
        <f t="shared" si="4"/>
        <v>15</v>
      </c>
      <c r="I216" s="130"/>
      <c r="J216" s="130">
        <v>25</v>
      </c>
      <c r="K216" s="130"/>
      <c r="L216" s="130"/>
      <c r="M216" s="142">
        <v>1</v>
      </c>
      <c r="N216" s="142">
        <v>5</v>
      </c>
      <c r="O216" s="141">
        <v>2</v>
      </c>
      <c r="P216" s="141"/>
      <c r="Q216" s="141"/>
      <c r="R216" s="141"/>
      <c r="S216" s="141"/>
      <c r="T216" s="141"/>
      <c r="U216" s="141"/>
      <c r="V216" s="141"/>
      <c r="W216" s="141"/>
      <c r="X216" s="141"/>
      <c r="Y216" s="141">
        <v>6</v>
      </c>
      <c r="Z216" s="220"/>
      <c r="AA216" s="220"/>
      <c r="AB216" s="220"/>
      <c r="AC216" s="220"/>
      <c r="AD216" s="220"/>
      <c r="AE216" s="220"/>
      <c r="AG216" s="203"/>
    </row>
    <row r="217" spans="1:33" s="125" customFormat="1" hidden="1" x14ac:dyDescent="0.25">
      <c r="A217" s="125">
        <f>+IF(AND(B217=$C$2,C217=$C$12),MAX($A$204:A216)+1,0)</f>
        <v>0</v>
      </c>
      <c r="B217" s="129" t="str">
        <f>+C160</f>
        <v>Puglia</v>
      </c>
      <c r="C217" s="129" t="str">
        <f>+$C$162</f>
        <v>Nido / Micro-nido</v>
      </c>
      <c r="D217" s="129" t="str">
        <f>+$C$162</f>
        <v>Nido / Micro-nido</v>
      </c>
      <c r="E217" s="130">
        <v>5</v>
      </c>
      <c r="F217" s="130">
        <v>8</v>
      </c>
      <c r="G217" s="130">
        <v>10</v>
      </c>
      <c r="H217" s="130">
        <f t="shared" si="4"/>
        <v>7.666666666666667</v>
      </c>
      <c r="I217" s="130"/>
      <c r="J217" s="130">
        <v>20</v>
      </c>
      <c r="K217" s="130"/>
      <c r="L217" s="130"/>
      <c r="M217" s="142">
        <v>5</v>
      </c>
      <c r="N217" s="142">
        <v>12</v>
      </c>
      <c r="O217" s="141">
        <v>5</v>
      </c>
      <c r="P217" s="141"/>
      <c r="Q217" s="141"/>
      <c r="R217" s="141"/>
      <c r="S217" s="141"/>
      <c r="T217" s="141"/>
      <c r="U217" s="141"/>
      <c r="V217" s="141"/>
      <c r="W217" s="141"/>
      <c r="X217" s="141"/>
      <c r="Y217" s="141">
        <v>6</v>
      </c>
      <c r="Z217" s="220"/>
      <c r="AA217" s="220"/>
      <c r="AB217" s="220"/>
      <c r="AC217" s="220"/>
      <c r="AD217" s="220"/>
      <c r="AE217" s="220"/>
      <c r="AG217" s="203"/>
    </row>
    <row r="218" spans="1:33" s="125" customFormat="1" hidden="1" x14ac:dyDescent="0.25">
      <c r="A218" s="125">
        <f>+IF(AND(B218=$C$2,C218=$C$12),MAX($A$204:A217)+1,0)</f>
        <v>0</v>
      </c>
      <c r="B218" s="129" t="str">
        <f>+B217</f>
        <v>Puglia</v>
      </c>
      <c r="C218" s="129" t="str">
        <f>+$C$162</f>
        <v>Nido / Micro-nido</v>
      </c>
      <c r="D218" s="130" t="s">
        <v>183</v>
      </c>
      <c r="E218" s="130">
        <v>0</v>
      </c>
      <c r="F218" s="130">
        <v>0</v>
      </c>
      <c r="G218" s="130">
        <v>10</v>
      </c>
      <c r="H218" s="130">
        <v>10</v>
      </c>
      <c r="I218" s="130"/>
      <c r="J218" s="130">
        <v>20</v>
      </c>
      <c r="K218" s="130"/>
      <c r="L218" s="130"/>
      <c r="M218" s="142">
        <v>5</v>
      </c>
      <c r="N218" s="142">
        <v>12</v>
      </c>
      <c r="O218" s="141">
        <v>5</v>
      </c>
      <c r="P218" s="141"/>
      <c r="Q218" s="141"/>
      <c r="R218" s="141"/>
      <c r="S218" s="141"/>
      <c r="T218" s="141"/>
      <c r="U218" s="141"/>
      <c r="V218" s="141"/>
      <c r="W218" s="141"/>
      <c r="X218" s="141"/>
      <c r="Y218" s="141">
        <v>6</v>
      </c>
      <c r="Z218" s="220"/>
      <c r="AA218" s="220"/>
      <c r="AB218" s="220"/>
      <c r="AC218" s="220"/>
      <c r="AD218" s="220"/>
      <c r="AE218" s="220"/>
      <c r="AG218" s="203"/>
    </row>
    <row r="219" spans="1:33" s="125" customFormat="1" hidden="1" x14ac:dyDescent="0.25">
      <c r="A219" s="125">
        <f>+IF(AND(B219=$C$2,C219=$C$12),MAX($A$204:A218)+1,0)</f>
        <v>0</v>
      </c>
      <c r="B219" s="129" t="str">
        <f>+B218</f>
        <v>Puglia</v>
      </c>
      <c r="C219" s="129" t="str">
        <f>+$C$163</f>
        <v>Servizi integrativi</v>
      </c>
      <c r="D219" s="130" t="s">
        <v>184</v>
      </c>
      <c r="E219" s="130">
        <v>8</v>
      </c>
      <c r="F219" s="130">
        <v>8</v>
      </c>
      <c r="G219" s="130">
        <v>15</v>
      </c>
      <c r="H219" s="130">
        <f t="shared" si="4"/>
        <v>10.333333333333334</v>
      </c>
      <c r="I219" s="130"/>
      <c r="J219" s="130">
        <v>20</v>
      </c>
      <c r="K219" s="130"/>
      <c r="L219" s="130"/>
      <c r="M219" s="142">
        <v>1</v>
      </c>
      <c r="N219" s="142">
        <v>5</v>
      </c>
      <c r="O219" s="141">
        <v>1</v>
      </c>
      <c r="P219" s="141"/>
      <c r="Q219" s="141"/>
      <c r="R219" s="141"/>
      <c r="S219" s="141"/>
      <c r="T219" s="141"/>
      <c r="U219" s="141"/>
      <c r="V219" s="141"/>
      <c r="W219" s="141"/>
      <c r="X219" s="141"/>
      <c r="Y219" s="141">
        <v>6</v>
      </c>
      <c r="Z219" s="220"/>
      <c r="AA219" s="220"/>
      <c r="AB219" s="220"/>
      <c r="AC219" s="220"/>
      <c r="AD219" s="220"/>
      <c r="AE219" s="220"/>
      <c r="AG219" s="203"/>
    </row>
    <row r="220" spans="1:33" s="125" customFormat="1" hidden="1" x14ac:dyDescent="0.25">
      <c r="B220" s="126"/>
      <c r="AG220" s="203"/>
    </row>
    <row r="221" spans="1:33" s="125" customFormat="1" hidden="1" x14ac:dyDescent="0.25">
      <c r="B221" s="126"/>
      <c r="AG221" s="203"/>
    </row>
    <row r="222" spans="1:33" s="125" customFormat="1" hidden="1" x14ac:dyDescent="0.25">
      <c r="B222" s="126"/>
      <c r="AG222" s="203"/>
    </row>
    <row r="223" spans="1:33" s="125" customFormat="1" hidden="1" x14ac:dyDescent="0.25">
      <c r="A223" s="125">
        <v>1</v>
      </c>
      <c r="B223" s="126" t="str">
        <f t="shared" ref="B223:B230" si="5">+IF(ISERROR(INDEX($D$204:$D$219,MATCH(A223,$A$204:$A$219,0))),"",INDEX($D$204:$D$219,MATCH(A223,$A$204:$A$219,0)))</f>
        <v>Nido / Micro-nido</v>
      </c>
      <c r="AG223" s="203"/>
    </row>
    <row r="224" spans="1:33" s="125" customFormat="1" hidden="1" x14ac:dyDescent="0.25">
      <c r="A224" s="125">
        <v>2</v>
      </c>
      <c r="B224" s="126" t="str">
        <f t="shared" si="5"/>
        <v>Sezioni Primavera</v>
      </c>
      <c r="AG224" s="203"/>
    </row>
    <row r="225" spans="1:33" s="125" customFormat="1" hidden="1" x14ac:dyDescent="0.25">
      <c r="A225" s="125">
        <v>3</v>
      </c>
      <c r="B225" s="126" t="str">
        <f t="shared" si="5"/>
        <v/>
      </c>
      <c r="AG225" s="203"/>
    </row>
    <row r="226" spans="1:33" s="125" customFormat="1" hidden="1" x14ac:dyDescent="0.25">
      <c r="A226" s="125">
        <v>4</v>
      </c>
      <c r="B226" s="126" t="str">
        <f t="shared" si="5"/>
        <v/>
      </c>
      <c r="AG226" s="203"/>
    </row>
    <row r="227" spans="1:33" s="125" customFormat="1" hidden="1" x14ac:dyDescent="0.25">
      <c r="A227" s="125">
        <v>5</v>
      </c>
      <c r="B227" s="126" t="str">
        <f t="shared" si="5"/>
        <v/>
      </c>
      <c r="AG227" s="203"/>
    </row>
    <row r="228" spans="1:33" s="125" customFormat="1" hidden="1" x14ac:dyDescent="0.25">
      <c r="A228" s="125">
        <v>6</v>
      </c>
      <c r="B228" s="126" t="str">
        <f t="shared" si="5"/>
        <v/>
      </c>
      <c r="AG228" s="203"/>
    </row>
    <row r="229" spans="1:33" s="125" customFormat="1" hidden="1" x14ac:dyDescent="0.25">
      <c r="A229" s="125">
        <v>7</v>
      </c>
      <c r="B229" s="126" t="str">
        <f t="shared" si="5"/>
        <v/>
      </c>
      <c r="AG229" s="203"/>
    </row>
    <row r="230" spans="1:33" s="125" customFormat="1" hidden="1" x14ac:dyDescent="0.25">
      <c r="A230" s="125">
        <v>8</v>
      </c>
      <c r="B230" s="126" t="str">
        <f t="shared" si="5"/>
        <v/>
      </c>
      <c r="AG230" s="203"/>
    </row>
    <row r="231" spans="1:33" s="125" customFormat="1" hidden="1" x14ac:dyDescent="0.25">
      <c r="B231" s="126"/>
      <c r="AG231" s="203"/>
    </row>
    <row r="232" spans="1:33" s="125" customFormat="1" ht="30" hidden="1" x14ac:dyDescent="0.25">
      <c r="B232" s="128" t="s">
        <v>48</v>
      </c>
      <c r="C232" s="128" t="s">
        <v>162</v>
      </c>
      <c r="D232" s="128" t="s">
        <v>177</v>
      </c>
      <c r="E232" s="128" t="s">
        <v>225</v>
      </c>
      <c r="F232" s="128" t="s">
        <v>226</v>
      </c>
      <c r="G232" s="128" t="s">
        <v>227</v>
      </c>
      <c r="H232" s="128" t="s">
        <v>207</v>
      </c>
      <c r="I232" s="128" t="s">
        <v>185</v>
      </c>
      <c r="J232" s="128" t="s">
        <v>186</v>
      </c>
      <c r="K232" s="128" t="s">
        <v>219</v>
      </c>
      <c r="L232" s="128" t="s">
        <v>220</v>
      </c>
      <c r="M232" s="128" t="s">
        <v>221</v>
      </c>
      <c r="N232" s="128" t="s">
        <v>222</v>
      </c>
      <c r="O232" s="128" t="s">
        <v>223</v>
      </c>
      <c r="P232" s="128"/>
      <c r="Q232" s="128"/>
      <c r="R232" s="128"/>
      <c r="S232" s="128"/>
      <c r="T232" s="128"/>
      <c r="U232" s="128"/>
      <c r="V232" s="128"/>
      <c r="W232" s="128"/>
      <c r="X232" s="128"/>
      <c r="Y232" s="128" t="s">
        <v>224</v>
      </c>
      <c r="Z232" s="219"/>
      <c r="AA232" s="219"/>
      <c r="AB232" s="219"/>
      <c r="AC232" s="219"/>
      <c r="AD232" s="219"/>
      <c r="AE232" s="219"/>
      <c r="AG232" s="203"/>
    </row>
    <row r="233" spans="1:33" s="125" customFormat="1" hidden="1" x14ac:dyDescent="0.25">
      <c r="A233" s="130">
        <f>+A13</f>
        <v>1</v>
      </c>
      <c r="B233" s="129" t="str">
        <f t="shared" ref="B233:Y233" si="6">+INDEX(B$204:B$219,MATCH($A$233,$A$204:$A$219,0))</f>
        <v>Sicilia</v>
      </c>
      <c r="C233" s="129" t="str">
        <f t="shared" si="6"/>
        <v>Nido / Micro-nido</v>
      </c>
      <c r="D233" s="129" t="str">
        <f t="shared" si="6"/>
        <v>Nido / Micro-nido</v>
      </c>
      <c r="E233" s="129">
        <f t="shared" si="6"/>
        <v>6</v>
      </c>
      <c r="F233" s="129">
        <f t="shared" si="6"/>
        <v>8</v>
      </c>
      <c r="G233" s="129">
        <f t="shared" si="6"/>
        <v>10</v>
      </c>
      <c r="H233" s="129">
        <f t="shared" si="6"/>
        <v>8</v>
      </c>
      <c r="I233" s="131">
        <f t="shared" si="6"/>
        <v>0</v>
      </c>
      <c r="J233" s="129">
        <f t="shared" si="6"/>
        <v>13</v>
      </c>
      <c r="K233" s="129">
        <f t="shared" si="6"/>
        <v>0</v>
      </c>
      <c r="L233" s="129">
        <f t="shared" si="6"/>
        <v>0</v>
      </c>
      <c r="M233" s="142">
        <f t="shared" si="6"/>
        <v>6</v>
      </c>
      <c r="N233" s="142">
        <f t="shared" si="6"/>
        <v>12</v>
      </c>
      <c r="O233" s="141">
        <f t="shared" si="6"/>
        <v>5</v>
      </c>
      <c r="P233" s="141"/>
      <c r="Q233" s="141"/>
      <c r="R233" s="141"/>
      <c r="S233" s="141"/>
      <c r="T233" s="141"/>
      <c r="U233" s="141"/>
      <c r="V233" s="141"/>
      <c r="W233" s="141"/>
      <c r="X233" s="141"/>
      <c r="Y233" s="141">
        <f t="shared" si="6"/>
        <v>6</v>
      </c>
      <c r="Z233" s="220"/>
      <c r="AA233" s="220"/>
      <c r="AB233" s="220"/>
      <c r="AC233" s="220"/>
      <c r="AD233" s="220"/>
      <c r="AE233" s="220"/>
      <c r="AG233" s="203"/>
    </row>
    <row r="234" spans="1:33" s="125" customFormat="1" hidden="1" x14ac:dyDescent="0.25">
      <c r="B234" s="126"/>
      <c r="AG234" s="203"/>
    </row>
    <row r="235" spans="1:33" s="125" customFormat="1" hidden="1" x14ac:dyDescent="0.25">
      <c r="B235" s="126"/>
      <c r="AG235" s="203"/>
    </row>
    <row r="236" spans="1:33" s="125" customFormat="1" hidden="1" x14ac:dyDescent="0.25">
      <c r="AG236" s="203"/>
    </row>
    <row r="237" spans="1:33" hidden="1" x14ac:dyDescent="0.25"/>
    <row r="238" spans="1:33" hidden="1" x14ac:dyDescent="0.25"/>
  </sheetData>
  <sheetProtection algorithmName="SHA-512" hashValue="2RmsCvj3zfROY2MEBAycmo/+EAdFBeIC+NbMXMfi4RAStntpyUAlY9mrRnX6dRsTMxwJQEcCMSkzcJ9P1oL3fQ==" saltValue="GO4y//3YQqBen/NIqLJ/Vg==" spinCount="100000" sheet="1" objects="1" scenarios="1" formatRows="0" selectLockedCells="1"/>
  <mergeCells count="21">
    <mergeCell ref="C17:E17"/>
    <mergeCell ref="C18:E18"/>
    <mergeCell ref="C19:E19"/>
    <mergeCell ref="C20:E20"/>
    <mergeCell ref="C21:E21"/>
    <mergeCell ref="I48:K48"/>
    <mergeCell ref="C22:E22"/>
    <mergeCell ref="B41:C41"/>
    <mergeCell ref="B45:H45"/>
    <mergeCell ref="C23:E23"/>
    <mergeCell ref="C24:E24"/>
    <mergeCell ref="B128:C128"/>
    <mergeCell ref="C98:E98"/>
    <mergeCell ref="B123:D123"/>
    <mergeCell ref="B124:C124"/>
    <mergeCell ref="B125:C125"/>
    <mergeCell ref="B126:C126"/>
    <mergeCell ref="B127:C127"/>
    <mergeCell ref="C104:E104"/>
    <mergeCell ref="C109:E109"/>
    <mergeCell ref="C115:E115"/>
  </mergeCells>
  <phoneticPr fontId="1" type="noConversion"/>
  <conditionalFormatting sqref="C37">
    <cfRule type="expression" dxfId="27" priority="437" stopIfTrue="1">
      <formula>#REF!&lt;&gt;""</formula>
    </cfRule>
  </conditionalFormatting>
  <conditionalFormatting sqref="B47:H47">
    <cfRule type="expression" dxfId="26" priority="438" stopIfTrue="1">
      <formula>#REF!&lt;&gt;""</formula>
    </cfRule>
  </conditionalFormatting>
  <conditionalFormatting sqref="C50:C51">
    <cfRule type="expression" dxfId="25" priority="439" stopIfTrue="1">
      <formula>#REF!&lt;&gt;""</formula>
    </cfRule>
  </conditionalFormatting>
  <conditionalFormatting sqref="C62">
    <cfRule type="expression" dxfId="24" priority="440" stopIfTrue="1">
      <formula>#REF!&lt;&gt;""</formula>
    </cfRule>
  </conditionalFormatting>
  <conditionalFormatting sqref="C67">
    <cfRule type="expression" dxfId="23" priority="441" stopIfTrue="1">
      <formula>#REF!&lt;&gt;""</formula>
    </cfRule>
  </conditionalFormatting>
  <conditionalFormatting sqref="C70">
    <cfRule type="expression" dxfId="22" priority="442" stopIfTrue="1">
      <formula>#REF!&lt;&gt;""</formula>
    </cfRule>
  </conditionalFormatting>
  <conditionalFormatting sqref="F107">
    <cfRule type="expression" dxfId="21" priority="460" stopIfTrue="1">
      <formula>F107&lt;&gt;C50</formula>
    </cfRule>
  </conditionalFormatting>
  <conditionalFormatting sqref="B95:C98 B100:C100">
    <cfRule type="expression" dxfId="20" priority="478">
      <formula>$C$28=$C$188</formula>
    </cfRule>
  </conditionalFormatting>
  <conditionalFormatting sqref="C95:C98">
    <cfRule type="expression" dxfId="19" priority="479">
      <formula>$C$28=$C$188</formula>
    </cfRule>
  </conditionalFormatting>
  <conditionalFormatting sqref="B96:C96">
    <cfRule type="expression" dxfId="18" priority="471">
      <formula>$C$95=$C$193</formula>
    </cfRule>
  </conditionalFormatting>
  <conditionalFormatting sqref="B97:C97 B98:E98">
    <cfRule type="expression" dxfId="17" priority="473" stopIfTrue="1">
      <formula>$C$95=$C$193</formula>
    </cfRule>
  </conditionalFormatting>
  <conditionalFormatting sqref="C35">
    <cfRule type="expression" dxfId="16" priority="21" stopIfTrue="1">
      <formula>$C$35&gt;$C$33</formula>
    </cfRule>
  </conditionalFormatting>
  <conditionalFormatting sqref="B83:D83">
    <cfRule type="expression" dxfId="15" priority="512">
      <formula>OR($C$28=$C$188,$C$28=$C$186)</formula>
    </cfRule>
  </conditionalFormatting>
  <conditionalFormatting sqref="C83">
    <cfRule type="expression" dxfId="14" priority="513">
      <formula>OR($C$28=$C$188,$C$28=$C$186)</formula>
    </cfRule>
  </conditionalFormatting>
  <conditionalFormatting sqref="C79:D79">
    <cfRule type="expression" dxfId="13" priority="514" stopIfTrue="1">
      <formula>$C$78=$C$193</formula>
    </cfRule>
  </conditionalFormatting>
  <conditionalFormatting sqref="C40">
    <cfRule type="expression" dxfId="12" priority="515" stopIfTrue="1">
      <formula>$C37=$C$192</formula>
    </cfRule>
  </conditionalFormatting>
  <conditionalFormatting sqref="C33">
    <cfRule type="expression" dxfId="11" priority="516" stopIfTrue="1">
      <formula>AND($C37=$C$192,C33&lt;&gt;SUM($C$38:$C$40))</formula>
    </cfRule>
  </conditionalFormatting>
  <conditionalFormatting sqref="C38">
    <cfRule type="expression" dxfId="10" priority="517" stopIfTrue="1">
      <formula>$C37=$C$192</formula>
    </cfRule>
  </conditionalFormatting>
  <conditionalFormatting sqref="C39">
    <cfRule type="expression" dxfId="9" priority="518" stopIfTrue="1">
      <formula>$C37=$C$192</formula>
    </cfRule>
  </conditionalFormatting>
  <conditionalFormatting sqref="I47">
    <cfRule type="expression" dxfId="8" priority="520" stopIfTrue="1">
      <formula>OR(I47&gt;$Y$233,I47&lt;$O$233)</formula>
    </cfRule>
  </conditionalFormatting>
  <conditionalFormatting sqref="C80:D80">
    <cfRule type="expression" dxfId="7" priority="9" stopIfTrue="1">
      <formula>$C$102=$C$157</formula>
    </cfRule>
  </conditionalFormatting>
  <conditionalFormatting sqref="C107:E107">
    <cfRule type="expression" dxfId="6" priority="1" stopIfTrue="1">
      <formula>#REF!&lt;&gt;""</formula>
    </cfRule>
  </conditionalFormatting>
  <dataValidations count="15">
    <dataValidation type="list" allowBlank="1" showInputMessage="1" showErrorMessage="1" sqref="C78 C37 C88 C73 C95" xr:uid="{00000000-0002-0000-0000-000000000000}">
      <formula1>$C$192:$C$193</formula1>
    </dataValidation>
    <dataValidation type="list" allowBlank="1" showInputMessage="1" showErrorMessage="1" sqref="C91" xr:uid="{00000000-0002-0000-0000-000001000000}">
      <formula1>$C$195:$C$197</formula1>
    </dataValidation>
    <dataValidation type="list" allowBlank="1" showInputMessage="1" showErrorMessage="1" sqref="C2" xr:uid="{00000000-0002-0000-0000-000002000000}">
      <formula1>$C$157:$C$160</formula1>
    </dataValidation>
    <dataValidation type="list" allowBlank="1" showInputMessage="1" showErrorMessage="1" sqref="C12" xr:uid="{00000000-0002-0000-0000-000003000000}">
      <formula1>$C$162:$C$163</formula1>
    </dataValidation>
    <dataValidation type="custom" allowBlank="1" showInputMessage="1" showErrorMessage="1" error="non è possibile prevedere unità equivalenti superiori al limite massimo_x000a_" sqref="C62 C67" xr:uid="{00000000-0002-0000-0000-000004000000}">
      <formula1>C62&lt;=B62</formula1>
    </dataValidation>
    <dataValidation type="list" allowBlank="1" showInputMessage="1" showErrorMessage="1" sqref="C28" xr:uid="{00000000-0002-0000-0000-000005000000}">
      <formula1>$C$186:$C$188</formula1>
    </dataValidation>
    <dataValidation type="custom" allowBlank="1" showInputMessage="1" showErrorMessage="1" error="non è possibile prevedere utenti in questa fascia di età per questo servizio" sqref="C38" xr:uid="{00000000-0002-0000-0000-000006000000}">
      <formula1>OR(C38=0,E$233&gt;0)</formula1>
    </dataValidation>
    <dataValidation type="custom" allowBlank="1" showInputMessage="1" showErrorMessage="1" error="non è possibile prevedere utenti in questa fascia di età per questo servizio" sqref="C39" xr:uid="{00000000-0002-0000-0000-000007000000}">
      <formula1>OR(C39=0,F$233&gt;0)</formula1>
    </dataValidation>
    <dataValidation type="custom" allowBlank="1" showInputMessage="1" showErrorMessage="1" error="non è possibile prevedere utenti in questa fascia di età per questo servizio" sqref="C40" xr:uid="{00000000-0002-0000-0000-000008000000}">
      <formula1>OR(C40=0,G$233&gt;0)</formula1>
    </dataValidation>
    <dataValidation allowBlank="1" showInputMessage="1" showErrorMessage="1" error="In umero di ore inserite non corrisponde ai limiti minimi e massimi previsti" sqref="G47:H47" xr:uid="{00000000-0002-0000-0000-000009000000}"/>
    <dataValidation type="custom" allowBlank="1" showInputMessage="1" showErrorMessage="1" error="Il Costo del singolo pasto non può essere diverso da 4€" sqref="C70" xr:uid="{00000000-0002-0000-0000-00000A000000}">
      <formula1>OR(C70=4,C70=0)</formula1>
    </dataValidation>
    <dataValidation type="custom" allowBlank="1" showInputMessage="1" showErrorMessage="1" error="In umero di ore inserite non corrisponde ai limiti minimi e massimi previsti" sqref="B47:F47" xr:uid="{00000000-0002-0000-0000-00000B000000}">
      <formula1>AND(B47&lt;=$N$233,B47&gt;=$M$233)</formula1>
    </dataValidation>
    <dataValidation type="list" allowBlank="1" showInputMessage="1" showErrorMessage="1" sqref="C13" xr:uid="{00000000-0002-0000-0000-00000C000000}">
      <formula1>INDIRECT(ADDRESS(ROW(B223),COLUMN(B223))&amp;":"&amp;ADDRESS(ROW(B223)-1+$A$203,COLUMN(B223)))</formula1>
    </dataValidation>
    <dataValidation type="custom" allowBlank="1" showInputMessage="1" showErrorMessage="1" error="hai inserito un numero di mesi superiori a quelli compresi nel persiodo di riferimento." sqref="D111 C107:E107" xr:uid="{00000000-0002-0000-0000-00000D000000}">
      <formula1>C107&lt;=C$106</formula1>
    </dataValidation>
    <dataValidation type="list" allowBlank="1" showInputMessage="1" showErrorMessage="1" sqref="C30" xr:uid="{00000000-0002-0000-0000-00000E000000}">
      <formula1>$D$190:$D$190</formula1>
    </dataValidation>
  </dataValidations>
  <pageMargins left="0.7" right="0.7" top="0.75" bottom="0.75" header="0.3" footer="0.3"/>
  <pageSetup paperSize="9" scale="13" fitToWidth="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3">
    <pageSetUpPr fitToPage="1"/>
  </sheetPr>
  <dimension ref="A1:BJ92"/>
  <sheetViews>
    <sheetView topLeftCell="A67" zoomScaleNormal="100" zoomScaleSheetLayoutView="40" workbookViewId="0">
      <selection activeCell="N24" sqref="N24"/>
    </sheetView>
  </sheetViews>
  <sheetFormatPr defaultColWidth="7.42578125" defaultRowHeight="15" x14ac:dyDescent="0.25"/>
  <cols>
    <col min="4" max="4" width="8.42578125" customWidth="1"/>
    <col min="15" max="15" width="7.42578125" customWidth="1"/>
    <col min="17" max="45" width="7.42578125" customWidth="1"/>
    <col min="46" max="47" width="7.42578125" hidden="1" customWidth="1"/>
    <col min="48" max="48" width="80.7109375" style="206" hidden="1" customWidth="1"/>
    <col min="49" max="49" width="7.42578125" hidden="1" customWidth="1"/>
    <col min="50" max="50" width="46.140625" style="206" hidden="1" customWidth="1"/>
    <col min="51" max="57" width="7.42578125" hidden="1" customWidth="1"/>
    <col min="58" max="58" width="7.42578125" style="20" hidden="1" customWidth="1"/>
    <col min="59" max="62" width="7.42578125" hidden="1" customWidth="1"/>
  </cols>
  <sheetData>
    <row r="1" spans="1:48" ht="32.25" customHeight="1" x14ac:dyDescent="0.25">
      <c r="A1" s="385" t="s">
        <v>292</v>
      </c>
      <c r="B1" s="386"/>
      <c r="C1" s="386"/>
      <c r="D1" s="386"/>
      <c r="E1" s="386"/>
      <c r="F1" s="386"/>
      <c r="G1" s="386"/>
      <c r="H1" s="386"/>
      <c r="I1" s="386"/>
      <c r="J1" s="386"/>
      <c r="K1" s="386"/>
      <c r="L1" s="386"/>
      <c r="M1" s="386"/>
      <c r="N1" s="386"/>
      <c r="O1" s="386"/>
    </row>
    <row r="2" spans="1:48" x14ac:dyDescent="0.25">
      <c r="A2" s="320" t="s">
        <v>234</v>
      </c>
      <c r="B2" s="363"/>
      <c r="C2" s="363"/>
      <c r="D2" s="363"/>
      <c r="E2" s="363"/>
      <c r="F2" s="363"/>
      <c r="G2" s="363"/>
      <c r="H2" s="363"/>
      <c r="I2" s="363"/>
      <c r="J2" s="363"/>
      <c r="K2" s="363"/>
      <c r="L2" s="363"/>
      <c r="M2" s="363"/>
      <c r="N2" s="363"/>
      <c r="O2" s="321"/>
    </row>
    <row r="3" spans="1:48" x14ac:dyDescent="0.25">
      <c r="A3" s="388" t="str">
        <f>+INPUT!C12</f>
        <v>Nido / Micro-nido</v>
      </c>
      <c r="B3" s="389"/>
      <c r="C3" s="389"/>
      <c r="D3" s="389"/>
      <c r="E3" s="389"/>
      <c r="F3" s="389"/>
      <c r="G3" s="389"/>
      <c r="H3" s="389"/>
      <c r="I3" s="389"/>
      <c r="J3" s="389"/>
      <c r="K3" s="389"/>
      <c r="L3" s="389"/>
      <c r="M3" s="389"/>
      <c r="N3" s="389"/>
      <c r="O3" s="390"/>
    </row>
    <row r="4" spans="1:48" x14ac:dyDescent="0.25">
      <c r="A4" s="388" t="str">
        <f>+INPUT!C13</f>
        <v>Nido / Micro-nido</v>
      </c>
      <c r="B4" s="389"/>
      <c r="C4" s="389"/>
      <c r="D4" s="389"/>
      <c r="E4" s="389"/>
      <c r="F4" s="389"/>
      <c r="G4" s="389"/>
      <c r="H4" s="389"/>
      <c r="I4" s="389"/>
      <c r="J4" s="389"/>
      <c r="K4" s="389"/>
      <c r="L4" s="389"/>
      <c r="M4" s="389"/>
      <c r="N4" s="389"/>
      <c r="O4" s="390"/>
    </row>
    <row r="5" spans="1:48" x14ac:dyDescent="0.25">
      <c r="A5" s="325" t="s">
        <v>137</v>
      </c>
      <c r="B5" s="326"/>
      <c r="C5" s="326"/>
      <c r="D5" s="326"/>
      <c r="E5" s="326"/>
      <c r="F5" s="326"/>
      <c r="G5" s="326"/>
      <c r="H5" s="326"/>
      <c r="I5" s="326"/>
      <c r="J5" s="326"/>
      <c r="K5" s="326"/>
      <c r="L5" s="326"/>
      <c r="M5" s="326"/>
      <c r="N5" s="326"/>
      <c r="O5" s="327"/>
    </row>
    <row r="6" spans="1:48" x14ac:dyDescent="0.25">
      <c r="A6" t="s">
        <v>138</v>
      </c>
      <c r="B6" s="391" t="s">
        <v>139</v>
      </c>
      <c r="C6" s="391"/>
      <c r="D6" s="391"/>
      <c r="E6" s="387" t="str">
        <f>+INPUT!C3</f>
        <v>Acquisto di posti-utente in strutture private accreditate</v>
      </c>
      <c r="F6" s="387"/>
      <c r="G6" s="387"/>
      <c r="H6" s="387"/>
      <c r="I6" s="387"/>
      <c r="J6" s="387"/>
      <c r="K6" s="387"/>
      <c r="L6" s="387"/>
      <c r="M6" s="387"/>
      <c r="N6" s="387"/>
      <c r="O6" s="387"/>
      <c r="AV6" s="206" t="str">
        <f t="shared" ref="AV6:AV11" si="0">+E6</f>
        <v>Acquisto di posti-utente in strutture private accreditate</v>
      </c>
    </row>
    <row r="7" spans="1:48" x14ac:dyDescent="0.25">
      <c r="A7" t="s">
        <v>140</v>
      </c>
      <c r="B7" s="391" t="s">
        <v>141</v>
      </c>
      <c r="C7" s="391"/>
      <c r="D7" s="391"/>
      <c r="E7" s="387" t="str">
        <f>+INPUT!C4</f>
        <v>San Cataldo  - facenti parte del Distretto Socio Sanitario n. 11</v>
      </c>
      <c r="F7" s="387"/>
      <c r="G7" s="387"/>
      <c r="H7" s="387"/>
      <c r="I7" s="387"/>
      <c r="J7" s="387"/>
      <c r="K7" s="387"/>
      <c r="L7" s="387"/>
      <c r="M7" s="387"/>
      <c r="N7" s="387"/>
      <c r="O7" s="387"/>
      <c r="AV7" s="206" t="str">
        <f t="shared" si="0"/>
        <v>San Cataldo  - facenti parte del Distretto Socio Sanitario n. 11</v>
      </c>
    </row>
    <row r="8" spans="1:48" x14ac:dyDescent="0.25">
      <c r="A8" t="s">
        <v>142</v>
      </c>
      <c r="B8" s="391" t="s">
        <v>143</v>
      </c>
      <c r="C8" s="391"/>
      <c r="D8" s="391"/>
      <c r="E8" s="387" t="str">
        <f>+INPUT!C5</f>
        <v>Comune di San Cataldo (CL)</v>
      </c>
      <c r="F8" s="387"/>
      <c r="G8" s="387"/>
      <c r="H8" s="387"/>
      <c r="I8" s="387"/>
      <c r="J8" s="387"/>
      <c r="K8" s="387"/>
      <c r="L8" s="387"/>
      <c r="M8" s="387"/>
      <c r="N8" s="387"/>
      <c r="O8" s="387"/>
      <c r="AV8" s="206" t="str">
        <f t="shared" si="0"/>
        <v>Comune di San Cataldo (CL)</v>
      </c>
    </row>
    <row r="9" spans="1:48" x14ac:dyDescent="0.25">
      <c r="A9" t="s">
        <v>144</v>
      </c>
      <c r="B9" s="391" t="s">
        <v>145</v>
      </c>
      <c r="C9" s="391"/>
      <c r="D9" s="391"/>
      <c r="E9" s="387" t="str">
        <f>+INPUT!C6</f>
        <v xml:space="preserve">Alaimo Anna Maria </v>
      </c>
      <c r="F9" s="387"/>
      <c r="G9" s="387"/>
      <c r="H9" s="387"/>
      <c r="I9" s="387"/>
      <c r="J9" s="387"/>
      <c r="K9" s="387"/>
      <c r="L9" s="387"/>
      <c r="M9" s="387"/>
      <c r="N9" s="387"/>
      <c r="O9" s="387"/>
      <c r="AV9" s="206" t="str">
        <f t="shared" si="0"/>
        <v xml:space="preserve">Alaimo Anna Maria </v>
      </c>
    </row>
    <row r="10" spans="1:48" x14ac:dyDescent="0.25">
      <c r="A10" t="s">
        <v>146</v>
      </c>
      <c r="B10" s="391" t="s">
        <v>147</v>
      </c>
      <c r="C10" s="391"/>
      <c r="D10" s="391"/>
      <c r="E10" s="387" t="str">
        <f>+INPUT!C7</f>
        <v>0934/511269</v>
      </c>
      <c r="F10" s="387"/>
      <c r="G10" s="387"/>
      <c r="H10" s="387"/>
      <c r="I10" s="387"/>
      <c r="J10" s="387"/>
      <c r="K10" s="387"/>
      <c r="L10" s="387"/>
      <c r="M10" s="387"/>
      <c r="N10" s="387"/>
      <c r="O10" s="387"/>
      <c r="AV10" s="206" t="str">
        <f t="shared" si="0"/>
        <v>0934/511269</v>
      </c>
    </row>
    <row r="11" spans="1:48" x14ac:dyDescent="0.25">
      <c r="A11" t="s">
        <v>149</v>
      </c>
      <c r="B11" s="391" t="s">
        <v>148</v>
      </c>
      <c r="C11" s="391"/>
      <c r="D11" s="391"/>
      <c r="E11" s="387">
        <f>+INPUT!C8</f>
        <v>0</v>
      </c>
      <c r="F11" s="387"/>
      <c r="G11" s="387"/>
      <c r="H11" s="387"/>
      <c r="I11" s="387"/>
      <c r="J11" s="387"/>
      <c r="K11" s="387"/>
      <c r="L11" s="387"/>
      <c r="M11" s="387"/>
      <c r="N11" s="387"/>
      <c r="O11" s="387"/>
      <c r="AV11" s="206">
        <f t="shared" si="0"/>
        <v>0</v>
      </c>
    </row>
    <row r="12" spans="1:48" x14ac:dyDescent="0.25">
      <c r="A12" t="s">
        <v>150</v>
      </c>
      <c r="B12" s="391" t="s">
        <v>151</v>
      </c>
      <c r="C12" s="391"/>
      <c r="D12" s="391"/>
      <c r="E12" s="391"/>
      <c r="F12" s="391"/>
      <c r="G12" s="391"/>
      <c r="H12" s="391"/>
      <c r="I12" s="391"/>
      <c r="J12" s="391"/>
      <c r="K12" s="396">
        <f>+INPUT!H149</f>
        <v>228784.33107915003</v>
      </c>
      <c r="L12" s="397"/>
      <c r="M12" s="397"/>
      <c r="N12" s="397"/>
      <c r="O12" s="398"/>
    </row>
    <row r="14" spans="1:48" x14ac:dyDescent="0.25">
      <c r="A14" s="325" t="s">
        <v>169</v>
      </c>
      <c r="B14" s="326"/>
      <c r="C14" s="326"/>
      <c r="D14" s="326"/>
      <c r="E14" s="326"/>
      <c r="F14" s="326"/>
      <c r="G14" s="326"/>
      <c r="H14" s="326"/>
      <c r="I14" s="326"/>
      <c r="J14" s="326"/>
      <c r="K14" s="326"/>
      <c r="L14" s="326"/>
      <c r="M14" s="326"/>
      <c r="N14" s="326"/>
      <c r="O14" s="327"/>
    </row>
    <row r="15" spans="1:48" x14ac:dyDescent="0.25">
      <c r="A15" t="s">
        <v>138</v>
      </c>
      <c r="B15" s="151" t="s">
        <v>241</v>
      </c>
      <c r="C15" s="151"/>
      <c r="D15" s="151"/>
      <c r="E15" s="170"/>
      <c r="F15" s="170"/>
      <c r="G15" s="170"/>
    </row>
    <row r="16" spans="1:48" ht="195" x14ac:dyDescent="0.25">
      <c r="B16" s="20"/>
      <c r="E16" s="354" t="str">
        <f>+INPUT!C17</f>
        <v xml:space="preserve">Acquisto di n. 30 posti-utente per il Servizio di Asilo Nido in strutture private autorizzate al servizio secondo gli standard regionali e inserite nel catalogo dell’offerta distrettuale previsto dal “AVVISO PUBBLICO PER L’ISCRIZIONE AL REGISTRO UNICO DISTRETTUALE DEI SOGGETTI ACCREDITATI AD EROGARE PRESTAZIONI E SERVIZI PERSONALIZZATI PER MINORI, ADOLESCENTI, ANZIANI, DISABILI, ADULTI, FAMIGLIE E IMMIGRATI, NELL'AMBITO TERRITORIALE DEI COMUNI DEL DISTRETTO SOCIO SANITARIO N. 11” del distretto D11, gestite da enti del terzo settore. Gli enti gestori dovranno garantire, in osservanza a quanto previsto dal D.P.R.S. 16 maggio 2013 “Nuovi standards strutturali ed organizzativi per i servizi di prima infanzia”, la presenza dei seguenti operatori: n. 4 Educatori, n.3 Ausiliari. Costo mensile per bambino pari ad euro 677,31.
Il servizio dovrà essere attivo dalle 08,00 alle 14,00 (6 h/giorno) per 5 giorni alla settimana ( da lunedì a Venerdì)  per 11 mesi: Settembre/Dicembre  2023  Gennaio/Luglio 2024 . Nell’intervento viene previsto io pranzo. </v>
      </c>
      <c r="F16" s="355"/>
      <c r="G16" s="355"/>
      <c r="H16" s="355"/>
      <c r="I16" s="355"/>
      <c r="J16" s="355"/>
      <c r="K16" s="355"/>
      <c r="L16" s="355"/>
      <c r="M16" s="355"/>
      <c r="N16" s="355"/>
      <c r="O16" s="356"/>
      <c r="AV16" s="206" t="str">
        <f>+E16</f>
        <v xml:space="preserve">Acquisto di n. 30 posti-utente per il Servizio di Asilo Nido in strutture private autorizzate al servizio secondo gli standard regionali e inserite nel catalogo dell’offerta distrettuale previsto dal “AVVISO PUBBLICO PER L’ISCRIZIONE AL REGISTRO UNICO DISTRETTUALE DEI SOGGETTI ACCREDITATI AD EROGARE PRESTAZIONI E SERVIZI PERSONALIZZATI PER MINORI, ADOLESCENTI, ANZIANI, DISABILI, ADULTI, FAMIGLIE E IMMIGRATI, NELL'AMBITO TERRITORIALE DEI COMUNI DEL DISTRETTO SOCIO SANITARIO N. 11” del distretto D11, gestite da enti del terzo settore. Gli enti gestori dovranno garantire, in osservanza a quanto previsto dal D.P.R.S. 16 maggio 2013 “Nuovi standards strutturali ed organizzativi per i servizi di prima infanzia”, la presenza dei seguenti operatori: n. 4 Educatori, n.3 Ausiliari. Costo mensile per bambino pari ad euro 677,31.
Il servizio dovrà essere attivo dalle 08,00 alle 14,00 (6 h/giorno) per 5 giorni alla settimana ( da lunedì a Venerdì)  per 11 mesi: Settembre/Dicembre  2023  Gennaio/Luglio 2024 . Nell’intervento viene previsto io pranzo. </v>
      </c>
    </row>
    <row r="17" spans="1:48" x14ac:dyDescent="0.25">
      <c r="A17" t="s">
        <v>152</v>
      </c>
      <c r="B17" s="151" t="str">
        <f>+INPUT!B28</f>
        <v>Modalità di acquisizione dei servizi</v>
      </c>
      <c r="C17" s="151"/>
      <c r="D17" s="151"/>
      <c r="E17" s="170"/>
    </row>
    <row r="18" spans="1:48" x14ac:dyDescent="0.25">
      <c r="B18" s="123"/>
      <c r="C18" s="123"/>
      <c r="D18" s="123"/>
      <c r="E18" s="406" t="str">
        <f>+INPUT!C28</f>
        <v>affidamento diretto /trattativa privata</v>
      </c>
      <c r="F18" s="407"/>
      <c r="G18" s="407"/>
      <c r="H18" s="407"/>
      <c r="I18" s="407"/>
      <c r="J18" s="407"/>
      <c r="K18" s="407"/>
      <c r="L18" s="407"/>
      <c r="M18" s="407"/>
      <c r="N18" s="407"/>
      <c r="O18" s="408"/>
      <c r="AV18" s="206" t="str">
        <f>+E18</f>
        <v>affidamento diretto /trattativa privata</v>
      </c>
    </row>
    <row r="19" spans="1:48" x14ac:dyDescent="0.25">
      <c r="B19" s="123"/>
      <c r="C19" s="123"/>
      <c r="D19" s="123"/>
      <c r="E19" s="160"/>
      <c r="F19" s="160"/>
      <c r="G19" s="160"/>
      <c r="H19" s="160"/>
      <c r="I19" s="160"/>
      <c r="J19" s="160"/>
      <c r="K19" s="160"/>
      <c r="L19" s="160"/>
      <c r="M19" s="160"/>
      <c r="N19" s="160"/>
      <c r="O19" s="160"/>
    </row>
    <row r="20" spans="1:48" x14ac:dyDescent="0.25">
      <c r="B20" s="123"/>
      <c r="C20" s="123"/>
      <c r="D20" s="123"/>
      <c r="E20" s="160"/>
      <c r="F20" s="160"/>
      <c r="G20" s="160"/>
      <c r="H20" s="160"/>
      <c r="I20" s="314" t="s">
        <v>281</v>
      </c>
      <c r="J20" s="318"/>
      <c r="K20" s="319"/>
      <c r="L20" s="314" t="s">
        <v>280</v>
      </c>
      <c r="M20" s="318"/>
    </row>
    <row r="21" spans="1:48" x14ac:dyDescent="0.25">
      <c r="B21" s="123"/>
      <c r="C21" s="123"/>
      <c r="D21" s="123"/>
      <c r="E21" s="160"/>
      <c r="F21" s="160"/>
      <c r="G21" s="160"/>
      <c r="H21" s="160"/>
      <c r="I21" s="402" t="s">
        <v>338</v>
      </c>
      <c r="J21" s="403"/>
      <c r="K21" s="160"/>
      <c r="L21" s="402" t="s">
        <v>338</v>
      </c>
      <c r="M21" s="403"/>
    </row>
    <row r="22" spans="1:48" ht="34.5" customHeight="1" x14ac:dyDescent="0.25">
      <c r="A22" s="96" t="s">
        <v>272</v>
      </c>
      <c r="B22" s="392" t="s">
        <v>271</v>
      </c>
      <c r="C22" s="392"/>
      <c r="D22" s="392"/>
      <c r="E22" s="399">
        <f>+INPUT!C33</f>
        <v>30</v>
      </c>
      <c r="F22" s="400"/>
      <c r="G22" s="401"/>
      <c r="H22" s="161" t="s">
        <v>19</v>
      </c>
      <c r="I22" s="404">
        <f>+INPUT!C33*IF(SUM(INPUT!C107:E107)&gt;0,1,0)</f>
        <v>30</v>
      </c>
      <c r="J22" s="405"/>
      <c r="K22" s="160"/>
      <c r="L22" s="409">
        <f>+SUM(INPUT!C118:E118)</f>
        <v>228784.33107915</v>
      </c>
      <c r="M22" s="405"/>
    </row>
    <row r="23" spans="1:48" x14ac:dyDescent="0.25">
      <c r="B23" s="123"/>
      <c r="C23" s="123"/>
      <c r="D23" s="123"/>
      <c r="E23" s="160"/>
      <c r="F23" s="160"/>
      <c r="G23" s="160"/>
      <c r="H23" s="160"/>
      <c r="I23" s="160"/>
      <c r="J23" s="160"/>
      <c r="K23" s="160"/>
      <c r="L23" s="160"/>
      <c r="M23" s="160"/>
      <c r="N23" s="160"/>
      <c r="O23" s="160"/>
      <c r="P23" s="160"/>
      <c r="Q23" s="160"/>
    </row>
    <row r="24" spans="1:48" ht="53.25" customHeight="1" x14ac:dyDescent="0.25">
      <c r="A24" t="s">
        <v>273</v>
      </c>
      <c r="B24" s="392" t="s">
        <v>289</v>
      </c>
      <c r="C24" s="391"/>
      <c r="D24" s="391"/>
      <c r="E24" s="393">
        <f>+INPUT!C35</f>
        <v>0</v>
      </c>
      <c r="F24" s="394"/>
      <c r="G24" s="395"/>
      <c r="H24" s="160"/>
      <c r="I24" s="160"/>
      <c r="J24" s="160"/>
      <c r="K24" s="160"/>
      <c r="L24" s="160"/>
      <c r="M24" s="160"/>
      <c r="N24" s="160"/>
      <c r="O24" s="160"/>
    </row>
    <row r="25" spans="1:48" x14ac:dyDescent="0.25">
      <c r="B25" s="123"/>
      <c r="C25" s="123"/>
      <c r="D25" s="123"/>
      <c r="E25" s="160"/>
      <c r="F25" s="160"/>
      <c r="G25" s="160"/>
      <c r="H25" s="160"/>
      <c r="I25" s="160"/>
      <c r="J25" s="160"/>
      <c r="K25" s="160"/>
      <c r="L25" s="160"/>
      <c r="M25" s="160"/>
    </row>
    <row r="26" spans="1:48" x14ac:dyDescent="0.25">
      <c r="B26" s="123"/>
      <c r="C26" s="123"/>
      <c r="D26" s="123"/>
      <c r="E26" s="160"/>
      <c r="F26" s="160"/>
      <c r="G26" s="160"/>
      <c r="I26" s="402" t="s">
        <v>338</v>
      </c>
      <c r="J26" s="403"/>
      <c r="K26" s="315"/>
      <c r="L26" s="315"/>
      <c r="M26" s="315"/>
      <c r="N26" s="315"/>
      <c r="O26" s="315"/>
      <c r="P26" s="315"/>
      <c r="Q26" s="315"/>
      <c r="R26" s="315"/>
      <c r="S26" s="315"/>
      <c r="T26" s="315"/>
      <c r="U26" s="315"/>
      <c r="V26" s="315"/>
      <c r="W26" s="315"/>
      <c r="X26" s="315"/>
      <c r="Y26" s="315"/>
      <c r="Z26" s="315"/>
      <c r="AA26" s="315"/>
      <c r="AB26" s="315"/>
      <c r="AC26" s="315"/>
    </row>
    <row r="27" spans="1:48" x14ac:dyDescent="0.25">
      <c r="A27" t="s">
        <v>274</v>
      </c>
      <c r="B27" s="347" t="s">
        <v>253</v>
      </c>
      <c r="C27" s="347"/>
      <c r="D27" s="347"/>
      <c r="E27" s="351">
        <f>+INPUT!C50</f>
        <v>11</v>
      </c>
      <c r="F27" s="352"/>
      <c r="G27" s="353"/>
      <c r="H27" s="161" t="s">
        <v>19</v>
      </c>
      <c r="I27" s="404">
        <f>+INPUT!C107+INPUT!D107+INPUT!E107</f>
        <v>11</v>
      </c>
      <c r="J27" s="405"/>
      <c r="K27" s="161"/>
      <c r="L27" s="161"/>
      <c r="M27" s="161"/>
      <c r="N27" s="161"/>
      <c r="O27" s="161"/>
      <c r="P27" s="161"/>
      <c r="Q27" s="161"/>
      <c r="R27" s="161"/>
      <c r="S27" s="161"/>
      <c r="T27" s="161"/>
      <c r="U27" s="161"/>
      <c r="V27" s="161"/>
      <c r="W27" s="161"/>
      <c r="X27" s="161"/>
      <c r="Y27" s="161"/>
      <c r="Z27" s="161"/>
      <c r="AA27" s="161"/>
      <c r="AB27" s="161"/>
      <c r="AC27" s="161"/>
    </row>
    <row r="28" spans="1:48" x14ac:dyDescent="0.25">
      <c r="E28" s="160"/>
      <c r="F28" s="160"/>
      <c r="G28" s="160"/>
      <c r="H28" s="160"/>
      <c r="I28" s="160"/>
      <c r="J28" s="160"/>
      <c r="K28" s="160"/>
      <c r="L28" s="160"/>
      <c r="M28" s="160"/>
      <c r="N28" s="160"/>
      <c r="O28" s="160"/>
    </row>
    <row r="29" spans="1:48" x14ac:dyDescent="0.25">
      <c r="A29" t="s">
        <v>275</v>
      </c>
      <c r="B29" s="347" t="s">
        <v>254</v>
      </c>
      <c r="C29" s="347"/>
      <c r="D29" s="347"/>
      <c r="E29" s="351">
        <f>+INPUT!I47</f>
        <v>5</v>
      </c>
      <c r="F29" s="352"/>
      <c r="G29" s="353"/>
      <c r="H29" s="160"/>
      <c r="I29" s="160"/>
      <c r="J29" s="160"/>
      <c r="K29" s="160"/>
      <c r="L29" s="160"/>
      <c r="M29" s="160"/>
      <c r="N29" s="160"/>
      <c r="O29" s="160"/>
    </row>
    <row r="30" spans="1:48" x14ac:dyDescent="0.25">
      <c r="E30" s="160"/>
      <c r="F30" s="160"/>
      <c r="G30" s="160"/>
      <c r="H30" s="160"/>
      <c r="I30" s="160"/>
      <c r="J30" s="160"/>
      <c r="K30" s="160"/>
      <c r="L30" s="160"/>
      <c r="M30" s="160"/>
      <c r="N30" s="160"/>
      <c r="O30" s="160"/>
    </row>
    <row r="31" spans="1:48" x14ac:dyDescent="0.25">
      <c r="A31" t="s">
        <v>276</v>
      </c>
      <c r="B31" s="347" t="s">
        <v>293</v>
      </c>
      <c r="C31" s="347"/>
      <c r="D31" s="347"/>
      <c r="E31" s="351">
        <f>+SUM(INPUT!B47:H47)</f>
        <v>30</v>
      </c>
      <c r="F31" s="352"/>
      <c r="G31" s="353"/>
      <c r="H31" s="160"/>
      <c r="I31" s="160"/>
      <c r="J31" s="160"/>
      <c r="K31" s="160"/>
      <c r="L31" s="160"/>
      <c r="M31" s="160"/>
      <c r="N31" s="160"/>
      <c r="O31" s="160"/>
    </row>
    <row r="32" spans="1:48" x14ac:dyDescent="0.25">
      <c r="E32" s="158"/>
      <c r="F32" s="158"/>
      <c r="G32" s="158"/>
      <c r="H32" s="158"/>
      <c r="I32" s="158"/>
      <c r="J32" s="158"/>
      <c r="K32" s="158"/>
      <c r="L32" s="158"/>
      <c r="M32" s="158"/>
      <c r="N32" s="158"/>
      <c r="O32" s="158"/>
    </row>
    <row r="33" spans="1:48" x14ac:dyDescent="0.25">
      <c r="A33" t="s">
        <v>277</v>
      </c>
      <c r="B33" s="347" t="s">
        <v>294</v>
      </c>
      <c r="C33" s="347"/>
      <c r="D33" s="347"/>
      <c r="E33" s="364">
        <f>+INPUT!C55</f>
        <v>1429.89</v>
      </c>
      <c r="F33" s="352"/>
      <c r="G33" s="353"/>
      <c r="H33" s="158"/>
      <c r="I33" s="158"/>
      <c r="J33" s="158"/>
      <c r="K33" s="158"/>
      <c r="L33" s="158"/>
      <c r="M33" s="158"/>
      <c r="N33" s="158"/>
      <c r="O33" s="158"/>
    </row>
    <row r="34" spans="1:48" x14ac:dyDescent="0.25">
      <c r="E34" s="158"/>
      <c r="F34" s="158"/>
      <c r="G34" s="158"/>
      <c r="H34" s="158"/>
      <c r="I34" s="158"/>
      <c r="J34" s="158"/>
      <c r="K34" s="158"/>
      <c r="L34" s="158"/>
      <c r="M34" s="158"/>
      <c r="N34" s="158"/>
      <c r="O34" s="158"/>
    </row>
    <row r="35" spans="1:48" x14ac:dyDescent="0.25">
      <c r="E35" s="158"/>
      <c r="F35" s="158"/>
      <c r="G35" s="158"/>
      <c r="H35" s="158"/>
      <c r="I35" s="158"/>
      <c r="J35" s="158"/>
      <c r="K35" s="158"/>
      <c r="L35" s="158"/>
      <c r="M35" s="158"/>
      <c r="N35" s="158"/>
      <c r="O35" s="158"/>
    </row>
    <row r="36" spans="1:48" x14ac:dyDescent="0.25">
      <c r="A36" t="s">
        <v>278</v>
      </c>
      <c r="B36" t="s">
        <v>235</v>
      </c>
      <c r="E36" s="150"/>
      <c r="F36" s="150"/>
      <c r="G36" s="150"/>
      <c r="H36" s="150"/>
      <c r="I36" s="150"/>
      <c r="J36" s="150"/>
      <c r="K36" s="150"/>
      <c r="L36" s="150"/>
      <c r="M36" s="150"/>
      <c r="N36" s="150"/>
      <c r="O36" s="150"/>
    </row>
    <row r="37" spans="1:48" ht="30" x14ac:dyDescent="0.25">
      <c r="E37" s="354" t="str">
        <f>+INPUT!C18</f>
        <v xml:space="preserve">In fase di Elaborazione
</v>
      </c>
      <c r="F37" s="355"/>
      <c r="G37" s="355"/>
      <c r="H37" s="355"/>
      <c r="I37" s="355"/>
      <c r="J37" s="355"/>
      <c r="K37" s="355"/>
      <c r="L37" s="355"/>
      <c r="M37" s="355"/>
      <c r="N37" s="355"/>
      <c r="O37" s="356"/>
      <c r="AV37" s="206" t="str">
        <f>+E37</f>
        <v xml:space="preserve">In fase di Elaborazione
</v>
      </c>
    </row>
    <row r="38" spans="1:48" x14ac:dyDescent="0.25">
      <c r="A38" t="s">
        <v>146</v>
      </c>
      <c r="B38" t="s">
        <v>236</v>
      </c>
      <c r="E38" s="157"/>
      <c r="F38" s="157"/>
      <c r="G38" s="157"/>
      <c r="H38" s="157"/>
      <c r="I38" s="157"/>
      <c r="J38" s="157"/>
      <c r="K38" s="157"/>
      <c r="L38" s="157"/>
      <c r="M38" s="157"/>
      <c r="N38" s="157"/>
      <c r="O38" s="157"/>
    </row>
    <row r="39" spans="1:48" ht="30" x14ac:dyDescent="0.25">
      <c r="E39" s="354" t="str">
        <f>+INPUT!C19</f>
        <v xml:space="preserve">In fase di elaborazione
</v>
      </c>
      <c r="F39" s="355"/>
      <c r="G39" s="355"/>
      <c r="H39" s="355"/>
      <c r="I39" s="355"/>
      <c r="J39" s="355"/>
      <c r="K39" s="355"/>
      <c r="L39" s="355"/>
      <c r="M39" s="355"/>
      <c r="N39" s="355"/>
      <c r="O39" s="356"/>
      <c r="AV39" s="206" t="str">
        <f>+E39</f>
        <v xml:space="preserve">In fase di elaborazione
</v>
      </c>
    </row>
    <row r="40" spans="1:48" x14ac:dyDescent="0.25">
      <c r="A40" t="s">
        <v>153</v>
      </c>
      <c r="B40" t="s">
        <v>237</v>
      </c>
      <c r="E40" s="157"/>
      <c r="F40" s="157"/>
      <c r="G40" s="157"/>
      <c r="H40" s="157"/>
      <c r="I40" s="157"/>
      <c r="J40" s="157"/>
      <c r="K40" s="157"/>
      <c r="L40" s="157"/>
      <c r="M40" s="157"/>
      <c r="N40" s="157"/>
      <c r="O40" s="157"/>
    </row>
    <row r="41" spans="1:48" x14ac:dyDescent="0.25">
      <c r="E41" s="354" t="str">
        <f>+INPUT!C20</f>
        <v>Delibera di Consiglio del Comune di San Cataldo N° 103 del 02/12/2016</v>
      </c>
      <c r="F41" s="355"/>
      <c r="G41" s="355"/>
      <c r="H41" s="355"/>
      <c r="I41" s="355"/>
      <c r="J41" s="355"/>
      <c r="K41" s="355"/>
      <c r="L41" s="355"/>
      <c r="M41" s="355"/>
      <c r="N41" s="355"/>
      <c r="O41" s="356"/>
      <c r="AV41" s="206" t="str">
        <f>+E41</f>
        <v>Delibera di Consiglio del Comune di San Cataldo N° 103 del 02/12/2016</v>
      </c>
    </row>
    <row r="42" spans="1:48" x14ac:dyDescent="0.25">
      <c r="A42" t="s">
        <v>154</v>
      </c>
      <c r="B42" t="s">
        <v>238</v>
      </c>
      <c r="E42" s="157"/>
      <c r="F42" s="157"/>
      <c r="G42" s="157"/>
      <c r="H42" s="157"/>
      <c r="I42" s="157"/>
      <c r="J42" s="157"/>
      <c r="K42" s="157"/>
      <c r="L42" s="157"/>
      <c r="M42" s="157"/>
      <c r="N42" s="157"/>
      <c r="O42" s="157"/>
    </row>
    <row r="43" spans="1:48" ht="255" x14ac:dyDescent="0.25">
      <c r="E43" s="354" t="str">
        <f>+INPUT!C21</f>
        <v xml:space="preserve">Prevista la compartecipazione economica da parte delle famiglie in relazione alla situazione reddituale del nucleo familiare di riferimento del minore, così come disposto dall’Art. 23 del Regolamento dei Servizi Socio-Assistenziali – del Comune di San Cataldo – Delibera di Consiglio N° 103 del 02/12/2016 – definito ai sensi dell’Art. 1 del D.A. n. 867/S7 del 15/04/2003  e/o s.m.i. – “Accesso agevolato ai servizi – Criteri unificati di valutazione economica” –:  “Il servizio sarà  gratuito per i soggetti la cui condizione economica complessiva del nucleo familiare di riferimento (ISE) , determinata ai sensi dell’Art. 1 del D.A. n. 867/S7 del 15/04/2003  e/o s.m.i. - Accesso agevolato ai servizi – Criteri unificati di valutazione economica – non supera l’importo annuo del trattamento minimo di pensione INPS per i lavoratori dipendenti adeguato, ove spettante, alle misure fissate dallo art. 38 della Legge n. 488/200, maggiorato:
-	del 50% nel caso in cui il soggetto richiedente è unico componente il nucleo familiare;
-	del 100% nel caso di due componenti;
-	dell'ulteriore 35% per ogni componente minore od adulto oltre il secondo.
Per condizioni economiche superiori i soggetti beneficiari possono essere ammessi al servizio previa compartecipazione in misura pari al 5% del costo sostenuto dal comune per ogni € 516,46 superiore al limite per la gratuità”. </v>
      </c>
      <c r="F43" s="355"/>
      <c r="G43" s="355"/>
      <c r="H43" s="355"/>
      <c r="I43" s="355"/>
      <c r="J43" s="355"/>
      <c r="K43" s="355"/>
      <c r="L43" s="355"/>
      <c r="M43" s="355"/>
      <c r="N43" s="355"/>
      <c r="O43" s="356"/>
      <c r="AV43" s="206" t="str">
        <f>+E43</f>
        <v xml:space="preserve">Prevista la compartecipazione economica da parte delle famiglie in relazione alla situazione reddituale del nucleo familiare di riferimento del minore, così come disposto dall’Art. 23 del Regolamento dei Servizi Socio-Assistenziali – del Comune di San Cataldo – Delibera di Consiglio N° 103 del 02/12/2016 – definito ai sensi dell’Art. 1 del D.A. n. 867/S7 del 15/04/2003  e/o s.m.i. – “Accesso agevolato ai servizi – Criteri unificati di valutazione economica” –:  “Il servizio sarà  gratuito per i soggetti la cui condizione economica complessiva del nucleo familiare di riferimento (ISE) , determinata ai sensi dell’Art. 1 del D.A. n. 867/S7 del 15/04/2003  e/o s.m.i. - Accesso agevolato ai servizi – Criteri unificati di valutazione economica – non supera l’importo annuo del trattamento minimo di pensione INPS per i lavoratori dipendenti adeguato, ove spettante, alle misure fissate dallo art. 38 della Legge n. 488/200, maggiorato:
-	del 50% nel caso in cui il soggetto richiedente è unico componente il nucleo familiare;
-	del 100% nel caso di due componenti;
-	dell'ulteriore 35% per ogni componente minore od adulto oltre il secondo.
Per condizioni economiche superiori i soggetti beneficiari possono essere ammessi al servizio previa compartecipazione in misura pari al 5% del costo sostenuto dal comune per ogni € 516,46 superiore al limite per la gratuità”. </v>
      </c>
    </row>
    <row r="44" spans="1:48" x14ac:dyDescent="0.25">
      <c r="A44" t="s">
        <v>155</v>
      </c>
      <c r="B44" t="s">
        <v>250</v>
      </c>
      <c r="E44" s="158"/>
      <c r="F44" s="158"/>
      <c r="G44" s="158"/>
      <c r="H44" s="158"/>
      <c r="I44" s="158"/>
      <c r="J44" s="158"/>
      <c r="K44" s="158"/>
      <c r="L44" s="158"/>
      <c r="M44" s="158"/>
      <c r="N44" s="158"/>
      <c r="O44" s="158"/>
    </row>
    <row r="45" spans="1:48" ht="30" x14ac:dyDescent="0.25">
      <c r="E45" s="378" t="str">
        <f>+INPUT!C22</f>
        <v>Deliberazione del Comitato dei Sindaci - seduta del 31/07/2020  - di cui alla D.D. n° 889 del 11/09/2020</v>
      </c>
      <c r="F45" s="379"/>
      <c r="G45" s="379"/>
      <c r="H45" s="379"/>
      <c r="I45" s="379"/>
      <c r="J45" s="379"/>
      <c r="K45" s="379"/>
      <c r="L45" s="379"/>
      <c r="M45" s="379"/>
      <c r="N45" s="379"/>
      <c r="O45" s="380"/>
      <c r="AV45" s="206" t="str">
        <f>+E45</f>
        <v>Deliberazione del Comitato dei Sindaci - seduta del 31/07/2020  - di cui alla D.D. n° 889 del 11/09/2020</v>
      </c>
    </row>
    <row r="46" spans="1:48" x14ac:dyDescent="0.25">
      <c r="A46" t="s">
        <v>156</v>
      </c>
      <c r="B46" t="s">
        <v>251</v>
      </c>
      <c r="E46" s="158"/>
      <c r="F46" s="158"/>
      <c r="G46" s="158"/>
      <c r="H46" s="158"/>
      <c r="I46" s="158"/>
      <c r="J46" s="158"/>
      <c r="K46" s="158"/>
      <c r="L46" s="158"/>
      <c r="M46" s="158"/>
      <c r="N46" s="158"/>
      <c r="O46" s="158"/>
    </row>
    <row r="47" spans="1:48" ht="409.5" x14ac:dyDescent="0.25">
      <c r="E47" s="378" t="str">
        <f>+INPUT!C23</f>
        <v xml:space="preserve">IL “Sistema di Accreditamento”,  prevede  l’erogazione degli interventi di natura socio-assistenziali  mediante buoni di servizio (voucher ) resi attraverso Soggetti del Terzo Settore aventi i requisiti Tecnico-Qualitativi iscritti all’Albo Distrettuale.
I Criteri  per    l’Istituzione del Registro Unico Distrettuale (R.U.D.) degli operatori accreditati per l’erogazione dei servizi socio-assistenziali e socio-educativi con il  sistema dell’accreditamento, che garantisce una maggiore collaborazione tra enti pubblici e soggetti no profit e/o del Terzo Settore, nell’ottica di una razionalizzazione delle risorse economiche pubbliche, della valorizzazione dell’apporto delle organizzazioni non profit presenti sul territorio e dell'affermazione del principio della libera scelta da parte degli utenti/referenti familiari. l’iscrizione  al Registro Unico  Distrettuale (R.U.D.)  degli Organismi sopra specificati per l’erogazione, in relazione al target di intervento, dei servizi di:
A)	Target Anziani: Assistenza Domiciliare Anziani, Centri Diurni Anziani, Pasti a Domicilio, Lavanderia a Domicilio.
B)	Target Disabili: Assistenza Domiciliare, Assistenza Domiciliare malati oncologici, Centri diurni, Centri di aggregazione, Centro per soggetti con autismo, Servizi di inserimento lavorativo, Gestione progetti personalizzati di assistenza in favore di disabili gravi e/o gravissimi, assistenza all'autonomia ed alla comunicazione scolastica e/o domiciliare,   Trasporto disabili;
C)	Target Minori e Famiglie: Assistenza Domiciliare, Centri di aggregazione giovanile, Servizi integrativi prima infanzia 0/3 anni (varie tipologie), Centri Pronta Accoglienza, Servizi per la famiglia ed  Educativa Domiciliare;
D)	Target Dipendenze, Immigrazione, Emarginazione e Nuova povertà: Assistenza Domiciliare, Servizio Inserimento Lavorativo, Centri Diurni, Centri di pronta accoglienza, Strutture di “ricovero notturno”, Servizi mensa. L’ambito territoriale di attuazione delle prestazioni de quo  è costituito dai Comuni facenti parte del  Distretto Socio-Sanitario n. 11 che comprende i Comuni di:
 San Cataldo
 Bompensiere
 Marianopoli
 Montedoro
 Milena
 Serradifalco                                                                                                                                                                                                                                                                                                                                                                                                                                                                                                                              L'iscrizione al Registro Unico Distrettuale non costituisce nessuna garanzia di accesso ai fondi e di svolgimento del servizio. 
L'avvio di un servizio, per i soggetti accreditati, è subordinato alle condizioni poste da un successivo specifico Avviso di Disponibilità; in tale avviso, a seconda delle specifiche caratteristiche del servizio, potranno essere richiesti ulteriori requisiti di qualificazione tecnica e professionale indispensabili per poter svolgere l'attività, nonché la presentazione dell’Allegato Q - “Requisiti di  Qualità”- con la descrizione precisa dei modelli organizzativi, di valutazione, ect ,  nonché le proposte migliorative offerte senza nessun onere aggiuntivo per il Distretto/Comune.  L'avvio effettivo del servizio è, inoltre, subordinato alla sottoscrizione del "Patto di Accreditamento” che definisce il rapporto economico-contrattuale delle parti,  le prestazioni da garantire e le modalità organizzative e gestionali per la rendicontazione dei voucher . La sottoscrizione del “Patto di Accreditamento” è vincolata dalla scelta da parte del beneficiario/referente familiare.                                                                                                                                                                                                                                                                                                                                                                                                                                                                                                                                                                                                                                                                                                                                                                                                                                                                                                                                                                                                                                                             </v>
      </c>
      <c r="F47" s="379"/>
      <c r="G47" s="379"/>
      <c r="H47" s="379"/>
      <c r="I47" s="379"/>
      <c r="J47" s="379"/>
      <c r="K47" s="379"/>
      <c r="L47" s="379"/>
      <c r="M47" s="379"/>
      <c r="N47" s="379"/>
      <c r="O47" s="380"/>
      <c r="AV47" s="206" t="str">
        <f>+E47</f>
        <v xml:space="preserve">IL “Sistema di Accreditamento”,  prevede  l’erogazione degli interventi di natura socio-assistenziali  mediante buoni di servizio (voucher ) resi attraverso Soggetti del Terzo Settore aventi i requisiti Tecnico-Qualitativi iscritti all’Albo Distrettuale.
I Criteri  per    l’Istituzione del Registro Unico Distrettuale (R.U.D.) degli operatori accreditati per l’erogazione dei servizi socio-assistenziali e socio-educativi con il  sistema dell’accreditamento, che garantisce una maggiore collaborazione tra enti pubblici e soggetti no profit e/o del Terzo Settore, nell’ottica di una razionalizzazione delle risorse economiche pubbliche, della valorizzazione dell’apporto delle organizzazioni non profit presenti sul territorio e dell'affermazione del principio della libera scelta da parte degli utenti/referenti familiari. l’iscrizione  al Registro Unico  Distrettuale (R.U.D.)  degli Organismi sopra specificati per l’erogazione, in relazione al target di intervento, dei servizi di:
A)	Target Anziani: Assistenza Domiciliare Anziani, Centri Diurni Anziani, Pasti a Domicilio, Lavanderia a Domicilio.
B)	Target Disabili: Assistenza Domiciliare, Assistenza Domiciliare malati oncologici, Centri diurni, Centri di aggregazione, Centro per soggetti con autismo, Servizi di inserimento lavorativo, Gestione progetti personalizzati di assistenza in favore di disabili gravi e/o gravissimi, assistenza all'autonomia ed alla comunicazione scolastica e/o domiciliare,   Trasporto disabili;
C)	Target Minori e Famiglie: Assistenza Domiciliare, Centri di aggregazione giovanile, Servizi integrativi prima infanzia 0/3 anni (varie tipologie), Centri Pronta Accoglienza, Servizi per la famiglia ed  Educativa Domiciliare;
D)	Target Dipendenze, Immigrazione, Emarginazione e Nuova povertà: Assistenza Domiciliare, Servizio Inserimento Lavorativo, Centri Diurni, Centri di pronta accoglienza, Strutture di “ricovero notturno”, Servizi mensa. L’ambito territoriale di attuazione delle prestazioni de quo  è costituito dai Comuni facenti parte del  Distretto Socio-Sanitario n. 11 che comprende i Comuni di:
 San Cataldo
 Bompensiere
 Marianopoli
 Montedoro
 Milena
 Serradifalco                                                                                                                                                                                                                                                                                                                                                                                                                                                                                                                              L'iscrizione al Registro Unico Distrettuale non costituisce nessuna garanzia di accesso ai fondi e di svolgimento del servizio. 
L'avvio di un servizio, per i soggetti accreditati, è subordinato alle condizioni poste da un successivo specifico Avviso di Disponibilità; in tale avviso, a seconda delle specifiche caratteristiche del servizio, potranno essere richiesti ulteriori requisiti di qualificazione tecnica e professionale indispensabili per poter svolgere l'attività, nonché la presentazione dell’Allegato Q - “Requisiti di  Qualità”- con la descrizione precisa dei modelli organizzativi, di valutazione, ect ,  nonché le proposte migliorative offerte senza nessun onere aggiuntivo per il Distretto/Comune.  L'avvio effettivo del servizio è, inoltre, subordinato alla sottoscrizione del "Patto di Accreditamento” che definisce il rapporto economico-contrattuale delle parti,  le prestazioni da garantire e le modalità organizzative e gestionali per la rendicontazione dei voucher . La sottoscrizione del “Patto di Accreditamento” è vincolata dalla scelta da parte del beneficiario/referente familiare.                                                                                                                                                                                                                                                                                                                                                                                                                                                                                                                                                                                                                                                                                                                                                                                                                                                                                                                                                                                                                                                             </v>
      </c>
    </row>
    <row r="48" spans="1:48" x14ac:dyDescent="0.25">
      <c r="A48" t="s">
        <v>255</v>
      </c>
      <c r="B48" t="s">
        <v>252</v>
      </c>
      <c r="E48" s="158"/>
      <c r="F48" s="158"/>
      <c r="G48" s="158"/>
      <c r="H48" s="158"/>
      <c r="I48" s="158"/>
      <c r="J48" s="158"/>
      <c r="K48" s="158"/>
      <c r="L48" s="158"/>
      <c r="M48" s="158"/>
      <c r="N48" s="158"/>
      <c r="O48" s="158"/>
    </row>
    <row r="49" spans="1:59" ht="409.5" x14ac:dyDescent="0.25">
      <c r="E49" s="378" t="str">
        <f>+INPUT!C24</f>
        <v>La Commissione di valutazione  ha il compito di esaminare le istanze sia di nuova iscrizione  sia di rinnovo all’Albo Distrettuale e di verificare i requisiti organizzativi minimi e i requisiti di qualità soggettiva dei soggetti richiedenti.
La commissione è composta da: 
-	n° 2 funzionari dei Servizi Sociali dei Comuni del Distretto;
-	dal Dirigente del Comune Capofila del Distretto, in qualità di presidente e da un segretario verbalizzante;
La Commissione si riunisce per l’esame delle istanze, redigendo apposito verbale e l’elenco dei soggetti da accreditare. Il Dirigente del Comune capofila, con determina dirigenziale approva l’elenco.
 La Commissione svolge, altresì, funzioni di vigilanza e controllo rispetto:
	al mantenimento dei requisiti dei soggetti accreditati;
	alla sopravvenienza di condizioni e situazioni che costituiscono causa di esclusione;
	agli standard dei servizi e ai relativi obblighi specificati nel presente regolamento. 1.	                                                                                                                                                                                                                                                                                                                                                                              Il Registro Unico Distrettuale è un registro aperto, con la possibilità di presentare l’istanza  di accreditamento in ogni momento. Le domande, se idonee, saranno inserite nel RUD entro 30 giorni dalla presentazione;
2.	Agli organismi che hanno presentato domanda di accreditamento verrà data comunicazione dell’esito della procedura di iscrizione nell’elenco generale definitivo o del motivato diniego.
3.	Il RUD avrà durata annuale (gennaio/dicembre) e pertanto i soggetti già  accreditati per l’annualità successiva devono presentare autodichiarazione, di cui all’Allegato A bis,  di mantenimento dei requisiti di iscrizione al RUD entro il 30 gennaio di ogni anno;  
4.	Il R.U.D.  è approvato annualmente con Determina Dirigenziale del Responsabile dei Servizi Sociali del Comune capofila e pubblicato all'Albo Pretorio e nell’Area Trasparenza di tutti i Comuni ricadenti nel Distretto n. 11 di San Cataldo.
5.	Il R.U.D. potrà essere  sottoposto ad aggiornamento periodico nel caso in cui si verifichino nuove iscrizioni, che saranno ratificate con apposito atto dirigenziale;
6.	 L’accreditamento all’Albo Distrettuale   non dà automaticamente diritto alla realizzazione delle prestazioni socio assistenziali per le quali il Soggetto ha richiesto l’accreditamento ma vincolato a quanto esplicitato dall’Art. 13</v>
      </c>
      <c r="F49" s="379"/>
      <c r="G49" s="379"/>
      <c r="H49" s="379"/>
      <c r="I49" s="379"/>
      <c r="J49" s="379"/>
      <c r="K49" s="379"/>
      <c r="L49" s="379"/>
      <c r="M49" s="379"/>
      <c r="N49" s="379"/>
      <c r="O49" s="380"/>
      <c r="AV49" s="206" t="str">
        <f>+E49</f>
        <v>La Commissione di valutazione  ha il compito di esaminare le istanze sia di nuova iscrizione  sia di rinnovo all’Albo Distrettuale e di verificare i requisiti organizzativi minimi e i requisiti di qualità soggettiva dei soggetti richiedenti.
La commissione è composta da: 
-	n° 2 funzionari dei Servizi Sociali dei Comuni del Distretto;
-	dal Dirigente del Comune Capofila del Distretto, in qualità di presidente e da un segretario verbalizzante;
La Commissione si riunisce per l’esame delle istanze, redigendo apposito verbale e l’elenco dei soggetti da accreditare. Il Dirigente del Comune capofila, con determina dirigenziale approva l’elenco.
 La Commissione svolge, altresì, funzioni di vigilanza e controllo rispetto:
	al mantenimento dei requisiti dei soggetti accreditati;
	alla sopravvenienza di condizioni e situazioni che costituiscono causa di esclusione;
	agli standard dei servizi e ai relativi obblighi specificati nel presente regolamento. 1.	                                                                                                                                                                                                                                                                                                                                                                              Il Registro Unico Distrettuale è un registro aperto, con la possibilità di presentare l’istanza  di accreditamento in ogni momento. Le domande, se idonee, saranno inserite nel RUD entro 30 giorni dalla presentazione;
2.	Agli organismi che hanno presentato domanda di accreditamento verrà data comunicazione dell’esito della procedura di iscrizione nell’elenco generale definitivo o del motivato diniego.
3.	Il RUD avrà durata annuale (gennaio/dicembre) e pertanto i soggetti già  accreditati per l’annualità successiva devono presentare autodichiarazione, di cui all’Allegato A bis,  di mantenimento dei requisiti di iscrizione al RUD entro il 30 gennaio di ogni anno;  
4.	Il R.U.D.  è approvato annualmente con Determina Dirigenziale del Responsabile dei Servizi Sociali del Comune capofila e pubblicato all'Albo Pretorio e nell’Area Trasparenza di tutti i Comuni ricadenti nel Distretto n. 11 di San Cataldo.
5.	Il R.U.D. potrà essere  sottoposto ad aggiornamento periodico nel caso in cui si verifichino nuove iscrizioni, che saranno ratificate con apposito atto dirigenziale;
6.	 L’accreditamento all’Albo Distrettuale   non dà automaticamente diritto alla realizzazione delle prestazioni socio assistenziali per le quali il Soggetto ha richiesto l’accreditamento ma vincolato a quanto esplicitato dall’Art. 13</v>
      </c>
    </row>
    <row r="50" spans="1:59" x14ac:dyDescent="0.25">
      <c r="E50" s="158"/>
      <c r="F50" s="158"/>
      <c r="G50" s="158"/>
      <c r="H50" s="158"/>
      <c r="I50" s="158"/>
      <c r="J50" s="158"/>
      <c r="K50" s="158"/>
      <c r="L50" s="158"/>
      <c r="M50" s="158"/>
      <c r="N50" s="158"/>
      <c r="O50" s="158"/>
    </row>
    <row r="52" spans="1:59" x14ac:dyDescent="0.25">
      <c r="A52" s="325" t="s">
        <v>157</v>
      </c>
      <c r="B52" s="326"/>
      <c r="C52" s="326"/>
      <c r="D52" s="326"/>
      <c r="E52" s="326"/>
      <c r="F52" s="326"/>
      <c r="G52" s="326"/>
      <c r="H52" s="326"/>
      <c r="I52" s="326"/>
      <c r="J52" s="326"/>
      <c r="K52" s="326"/>
      <c r="L52" s="326"/>
      <c r="M52" s="326"/>
      <c r="N52" s="326"/>
      <c r="O52" s="327"/>
    </row>
    <row r="53" spans="1:59" x14ac:dyDescent="0.25">
      <c r="A53" s="320" t="s">
        <v>158</v>
      </c>
      <c r="B53" s="363"/>
      <c r="C53" s="363"/>
      <c r="D53" s="363"/>
      <c r="E53" s="363"/>
      <c r="F53" s="363"/>
      <c r="G53" s="122"/>
      <c r="H53" s="384" t="s">
        <v>159</v>
      </c>
      <c r="I53" s="384"/>
      <c r="J53" s="384"/>
      <c r="K53" s="384"/>
      <c r="L53" s="384" t="s">
        <v>23</v>
      </c>
      <c r="M53" s="384"/>
      <c r="N53" s="384"/>
      <c r="O53" s="329"/>
    </row>
    <row r="54" spans="1:59" s="120" customFormat="1" ht="30" x14ac:dyDescent="0.25">
      <c r="B54" s="365" t="str">
        <f>+IF(ISERROR(INDEX(INPUT!$B$136:$B$146,MATCH(2,INPUT!$AH$136:$AH$146,0))),"",BG54)</f>
        <v>Educatore Professionale - CCNL Cooperative - D2 (costo orario 20,22 €/ora)</v>
      </c>
      <c r="C54" s="366"/>
      <c r="D54" s="366"/>
      <c r="E54" s="366"/>
      <c r="F54" s="366"/>
      <c r="G54" s="367"/>
      <c r="H54" s="360">
        <f>+IF(ISERROR(INDEX(INPUT!$G$136:$G$146,MATCH(2,INPUT!$AH$136:$AH$146,0))),"",INDEX(INPUT!$G$136:$G$146,MATCH(2,INPUT!$AH$136:$AH$146,0)))</f>
        <v>5719.56</v>
      </c>
      <c r="I54" s="361"/>
      <c r="J54" s="361"/>
      <c r="K54" s="362"/>
      <c r="L54" s="357">
        <f>+IF(ISERROR(INDEX(INPUT!$H$136:$H$146,MATCH(2,INPUT!$AH$136:$AH$146,0))),"",INDEX(INPUT!$H$136:$H$146,MATCH(2,INPUT!$AH$136:$AH$146,0)))</f>
        <v>115649.50320000001</v>
      </c>
      <c r="M54" s="358"/>
      <c r="N54" s="358"/>
      <c r="O54" s="359"/>
      <c r="AV54" s="203"/>
      <c r="AX54" s="203" t="str">
        <f>+B54</f>
        <v>Educatore Professionale - CCNL Cooperative - D2 (costo orario 20,22 €/ora)</v>
      </c>
      <c r="BE54" s="200">
        <v>2</v>
      </c>
      <c r="BF54" s="200">
        <f>+INDEX(INPUT!$AI$136:$AI$146,MATCH('SCHEDA DI INTERVENTO'!BE54,INPUT!$AH$136:$AH$146,0))</f>
        <v>0</v>
      </c>
      <c r="BG54" s="200" t="str">
        <f>+INDEX(INPUT!$AJ$136:$AJ$146,MATCH('SCHEDA DI INTERVENTO'!BE54,INPUT!$AH$136:$AH$146,0))</f>
        <v>Educatore Professionale - CCNL Cooperative - D2 (costo orario 20,22 €/ora)</v>
      </c>
    </row>
    <row r="55" spans="1:59" s="120" customFormat="1" ht="30" x14ac:dyDescent="0.25">
      <c r="B55" s="365" t="str">
        <f>+IF(ISERROR(INDEX(INPUT!$B$136:$B$146,MATCH(3,INPUT!$AH$136:$AH$146,0))),"",BG55)</f>
        <v>Ausiliario - CCNL Cooperative - B1 (costo orario 16,73 €/ora)</v>
      </c>
      <c r="C55" s="366"/>
      <c r="D55" s="366"/>
      <c r="E55" s="366"/>
      <c r="F55" s="366"/>
      <c r="G55" s="367"/>
      <c r="H55" s="360">
        <f>+IF(ISERROR(INDEX(INPUT!$G$136:$G$146,MATCH(3,INPUT!$AH$136:$AH$146,0))),"",INDEX(INPUT!$G$136:$G$146,MATCH(3,INPUT!$AH$136:$AH$146,0)))</f>
        <v>4289.67</v>
      </c>
      <c r="I55" s="361"/>
      <c r="J55" s="361"/>
      <c r="K55" s="362"/>
      <c r="L55" s="357">
        <f>+IF(ISERROR(INDEX(INPUT!$H$136:$H$146,MATCH(3,INPUT!$AH$136:$AH$146,0))),"",INDEX(INPUT!$H$136:$H$146,MATCH(3,INPUT!$AH$136:$AH$146,0)))</f>
        <v>71766.179100000008</v>
      </c>
      <c r="M55" s="358"/>
      <c r="N55" s="358"/>
      <c r="O55" s="359"/>
      <c r="AV55" s="203"/>
      <c r="AX55" s="203" t="str">
        <f t="shared" ref="AX55:AX64" si="1">+B55</f>
        <v>Ausiliario - CCNL Cooperative - B1 (costo orario 16,73 €/ora)</v>
      </c>
      <c r="BE55" s="200">
        <v>3</v>
      </c>
      <c r="BF55" s="200">
        <f>+INDEX(INPUT!$AI$136:$AI$146,MATCH('SCHEDA DI INTERVENTO'!BE55,INPUT!$AH$136:$AH$146,0))</f>
        <v>0</v>
      </c>
      <c r="BG55" s="200" t="str">
        <f>+INDEX(INPUT!$AJ$136:$AJ$146,MATCH('SCHEDA DI INTERVENTO'!BE55,INPUT!$AH$136:$AH$146,0))</f>
        <v>Ausiliario - CCNL Cooperative - B1 (costo orario 16,73 €/ora)</v>
      </c>
    </row>
    <row r="56" spans="1:59" s="120" customFormat="1" x14ac:dyDescent="0.25">
      <c r="B56" s="365" t="str">
        <f>+IF(ISERROR(INDEX(INPUT!$B$136:$B$146,MATCH(4,INPUT!$AH$136:$AH$146,0))),"",BG56)</f>
        <v>Pasti</v>
      </c>
      <c r="C56" s="366"/>
      <c r="D56" s="366"/>
      <c r="E56" s="366"/>
      <c r="F56" s="366"/>
      <c r="G56" s="367"/>
      <c r="H56" s="360">
        <f>+IF(ISERROR(INDEX(INPUT!$G$136:$G$146,MATCH(4,INPUT!$AH$136:$AH$146,0))),"",INDEX(INPUT!$G$136:$G$146,MATCH(4,INPUT!$AH$136:$AH$146,0)))</f>
        <v>7150</v>
      </c>
      <c r="I56" s="361"/>
      <c r="J56" s="361"/>
      <c r="K56" s="362"/>
      <c r="L56" s="357">
        <f>+IF(ISERROR(INDEX(INPUT!$H$136:$H$146,MATCH(4,INPUT!$AH$136:$AH$146,0))),"",INDEX(INPUT!$H$136:$H$146,MATCH(4,INPUT!$AH$136:$AH$146,0)))</f>
        <v>28600</v>
      </c>
      <c r="M56" s="358"/>
      <c r="N56" s="358"/>
      <c r="O56" s="359"/>
      <c r="AV56" s="203"/>
      <c r="AX56" s="203" t="str">
        <f t="shared" si="1"/>
        <v>Pasti</v>
      </c>
      <c r="BE56" s="200">
        <v>4</v>
      </c>
      <c r="BF56" s="200" t="str">
        <f>+INDEX(INPUT!$AI$136:$AI$146,MATCH('SCHEDA DI INTERVENTO'!BE56,INPUT!$AH$136:$AH$146,0))</f>
        <v>quantità</v>
      </c>
      <c r="BG56" s="200" t="str">
        <f>+INDEX(INPUT!$AJ$136:$AJ$146,MATCH('SCHEDA DI INTERVENTO'!BE56,INPUT!$AH$136:$AH$146,0))</f>
        <v>Pasti</v>
      </c>
    </row>
    <row r="57" spans="1:59" s="120" customFormat="1" x14ac:dyDescent="0.25">
      <c r="B57" s="365" t="str">
        <f>+IF(ISERROR(INDEX(INPUT!$B$136:$B$146,MATCH(5,INPUT!$AH$136:$AH$146,0))),"",BG57)</f>
        <v>Spese generali</v>
      </c>
      <c r="C57" s="366"/>
      <c r="D57" s="366"/>
      <c r="E57" s="366"/>
      <c r="F57" s="366"/>
      <c r="G57" s="367"/>
      <c r="H57" s="360">
        <f>+IF(ISERROR(INDEX(INPUT!$G$136:$G$146,MATCH(5,INPUT!$AH$136:$AH$146,0))),"",INDEX(INPUT!$G$136:$G$146,MATCH(5,INPUT!$AH$136:$AH$146,0)))</f>
        <v>0.01</v>
      </c>
      <c r="I57" s="361"/>
      <c r="J57" s="361"/>
      <c r="K57" s="362"/>
      <c r="L57" s="357">
        <f>+IF(ISERROR(INDEX(INPUT!$H$136:$H$146,MATCH(5,INPUT!$AH$136:$AH$146,0))),"",INDEX(INPUT!$H$136:$H$146,MATCH(5,INPUT!$AH$136:$AH$146,0)))</f>
        <v>1874.1568230000003</v>
      </c>
      <c r="M57" s="358"/>
      <c r="N57" s="358"/>
      <c r="O57" s="359"/>
      <c r="AV57" s="203"/>
      <c r="AX57" s="203" t="str">
        <f t="shared" si="1"/>
        <v>Spese generali</v>
      </c>
      <c r="BE57" s="200">
        <v>5</v>
      </c>
      <c r="BF57" s="200" t="str">
        <f>+INDEX(INPUT!$AI$136:$AI$146,MATCH('SCHEDA DI INTERVENTO'!BE57,INPUT!$AH$136:$AH$146,0))</f>
        <v>percentuale</v>
      </c>
      <c r="BG57" s="200" t="str">
        <f>+INDEX(INPUT!$AJ$136:$AJ$146,MATCH('SCHEDA DI INTERVENTO'!BE57,INPUT!$AH$136:$AH$146,0))</f>
        <v>Spese generali</v>
      </c>
    </row>
    <row r="58" spans="1:59" s="120" customFormat="1" x14ac:dyDescent="0.25">
      <c r="B58" s="365" t="str">
        <f>+IF(ISERROR(INDEX(INPUT!$B$136:$B$146,MATCH(6,INPUT!$AH$136:$AH$146,0))),"",BG58)</f>
        <v>IVA</v>
      </c>
      <c r="C58" s="366"/>
      <c r="D58" s="366"/>
      <c r="E58" s="366"/>
      <c r="F58" s="366"/>
      <c r="G58" s="367"/>
      <c r="H58" s="360">
        <f>+IF(ISERROR(INDEX(INPUT!$G$136:$G$146,MATCH(6,INPUT!$AH$136:$AH$146,0))),"",INDEX(INPUT!$G$136:$G$146,MATCH(6,INPUT!$AH$136:$AH$146,0)))</f>
        <v>0.05</v>
      </c>
      <c r="I58" s="361"/>
      <c r="J58" s="361"/>
      <c r="K58" s="362"/>
      <c r="L58" s="357">
        <f>+IF(ISERROR(INDEX(INPUT!$H$136:$H$146,MATCH(6,INPUT!$AH$136:$AH$146,0))),"",INDEX(INPUT!$H$136:$H$146,MATCH(6,INPUT!$AH$136:$AH$146,0)))</f>
        <v>10894.491956150001</v>
      </c>
      <c r="M58" s="358"/>
      <c r="N58" s="358"/>
      <c r="O58" s="359"/>
      <c r="AV58" s="203"/>
      <c r="AX58" s="203" t="str">
        <f t="shared" si="1"/>
        <v>IVA</v>
      </c>
      <c r="BE58" s="200">
        <v>6</v>
      </c>
      <c r="BF58" s="200" t="str">
        <f>+INDEX(INPUT!$AI$136:$AI$146,MATCH('SCHEDA DI INTERVENTO'!BE58,INPUT!$AH$136:$AH$146,0))</f>
        <v>percentuale</v>
      </c>
      <c r="BG58" s="200" t="str">
        <f>+INDEX(INPUT!$AJ$136:$AJ$146,MATCH('SCHEDA DI INTERVENTO'!BE58,INPUT!$AH$136:$AH$146,0))</f>
        <v>IVA</v>
      </c>
    </row>
    <row r="59" spans="1:59" s="120" customFormat="1" x14ac:dyDescent="0.25">
      <c r="B59" s="365" t="str">
        <f>+IF(ISERROR(INDEX(INPUT!$B$136:$B$146,MATCH(7,INPUT!$AH$136:$AH$146,0))),"",BG59)</f>
        <v/>
      </c>
      <c r="C59" s="366"/>
      <c r="D59" s="366"/>
      <c r="E59" s="366"/>
      <c r="F59" s="366"/>
      <c r="G59" s="367"/>
      <c r="H59" s="360" t="str">
        <f>+IF(ISERROR(INDEX(INPUT!$G$136:$G$146,MATCH(7,INPUT!$AH$136:$AH$146,0))),"",INDEX(INPUT!$G$136:$G$146,MATCH(7,INPUT!$AH$136:$AH$146,0)))</f>
        <v/>
      </c>
      <c r="I59" s="361"/>
      <c r="J59" s="361"/>
      <c r="K59" s="362"/>
      <c r="L59" s="357" t="str">
        <f>+IF(ISERROR(INDEX(INPUT!$H$136:$H$146,MATCH(7,INPUT!$AH$136:$AH$146,0))),"",INDEX(INPUT!$H$136:$H$146,MATCH(7,INPUT!$AH$136:$AH$146,0)))</f>
        <v/>
      </c>
      <c r="M59" s="358"/>
      <c r="N59" s="358"/>
      <c r="O59" s="359"/>
      <c r="AV59" s="203"/>
      <c r="AX59" s="203" t="str">
        <f t="shared" si="1"/>
        <v/>
      </c>
      <c r="BE59" s="200">
        <v>7</v>
      </c>
      <c r="BF59" s="200" t="e">
        <f>+INDEX(INPUT!$AI$136:$AI$146,MATCH('SCHEDA DI INTERVENTO'!BE59,INPUT!$AH$136:$AH$146,0))</f>
        <v>#N/A</v>
      </c>
      <c r="BG59" s="200" t="e">
        <f>+INDEX(INPUT!$AJ$136:$AJ$146,MATCH('SCHEDA DI INTERVENTO'!BE59,INPUT!$AH$136:$AH$146,0))</f>
        <v>#N/A</v>
      </c>
    </row>
    <row r="60" spans="1:59" s="120" customFormat="1" x14ac:dyDescent="0.25">
      <c r="B60" s="365" t="str">
        <f>+IF(ISERROR(INDEX(INPUT!$B$136:$B$146,MATCH(8,INPUT!$AH$136:$AH$146,0))),"",BG60)</f>
        <v/>
      </c>
      <c r="C60" s="366"/>
      <c r="D60" s="366"/>
      <c r="E60" s="366"/>
      <c r="F60" s="366"/>
      <c r="G60" s="367"/>
      <c r="H60" s="360" t="str">
        <f>+IF(ISERROR(INDEX(INPUT!$G$136:$G$146,MATCH(8,INPUT!$AH$136:$AH$146,0))),"",INDEX(INPUT!$G$136:$G$146,MATCH(8,INPUT!$AH$136:$AH$146,0)))</f>
        <v/>
      </c>
      <c r="I60" s="361"/>
      <c r="J60" s="361"/>
      <c r="K60" s="362"/>
      <c r="L60" s="357" t="str">
        <f>+IF(ISERROR(INDEX(INPUT!$H$136:$H$146,MATCH(8,INPUT!$AH$136:$AH$146,0))),"",INDEX(INPUT!$H$136:$H$146,MATCH(8,INPUT!$AH$136:$AH$146,0)))</f>
        <v/>
      </c>
      <c r="M60" s="358"/>
      <c r="N60" s="358"/>
      <c r="O60" s="359"/>
      <c r="AV60" s="203"/>
      <c r="AX60" s="203" t="str">
        <f t="shared" si="1"/>
        <v/>
      </c>
      <c r="BE60" s="200">
        <v>8</v>
      </c>
      <c r="BF60" s="200" t="e">
        <f>+INDEX(INPUT!$AI$136:$AI$146,MATCH('SCHEDA DI INTERVENTO'!BE60,INPUT!$AH$136:$AH$146,0))</f>
        <v>#N/A</v>
      </c>
      <c r="BG60" s="200" t="e">
        <f>+INDEX(INPUT!$AJ$136:$AJ$146,MATCH('SCHEDA DI INTERVENTO'!BE60,INPUT!$AH$136:$AH$146,0))</f>
        <v>#N/A</v>
      </c>
    </row>
    <row r="61" spans="1:59" s="120" customFormat="1" x14ac:dyDescent="0.25">
      <c r="B61" s="365" t="str">
        <f>+IF(ISERROR(INDEX(INPUT!$B$136:$B$146,MATCH(9,INPUT!$AH$136:$AH$146,0))),"",BG61)</f>
        <v/>
      </c>
      <c r="C61" s="366"/>
      <c r="D61" s="366"/>
      <c r="E61" s="366"/>
      <c r="F61" s="366"/>
      <c r="G61" s="367"/>
      <c r="H61" s="360" t="str">
        <f>+IF(ISERROR(INDEX(INPUT!$G$136:$G$146,MATCH(9,INPUT!$AH$136:$AH$146,0))),"",INDEX(INPUT!$G$136:$G$146,MATCH(9,INPUT!$AH$136:$AH$146,0)))</f>
        <v/>
      </c>
      <c r="I61" s="361"/>
      <c r="J61" s="361"/>
      <c r="K61" s="362"/>
      <c r="L61" s="357" t="str">
        <f>+IF(ISERROR(INDEX(INPUT!$H$136:$H$146,MATCH(9,INPUT!$AH$136:$AH$146,0))),"",INDEX(INPUT!$H$136:$H$146,MATCH(9,INPUT!$AH$136:$AH$146,0)))</f>
        <v/>
      </c>
      <c r="M61" s="358"/>
      <c r="N61" s="358"/>
      <c r="O61" s="359"/>
      <c r="AV61" s="203"/>
      <c r="AX61" s="203" t="str">
        <f t="shared" si="1"/>
        <v/>
      </c>
      <c r="BE61" s="200">
        <v>9</v>
      </c>
      <c r="BF61" s="200" t="e">
        <f>+INDEX(INPUT!$AI$136:$AI$146,MATCH('SCHEDA DI INTERVENTO'!BE61,INPUT!$AH$136:$AH$146,0))</f>
        <v>#N/A</v>
      </c>
      <c r="BG61" s="200" t="e">
        <f>+INDEX(INPUT!$AJ$136:$AJ$146,MATCH('SCHEDA DI INTERVENTO'!BE61,INPUT!$AH$136:$AH$146,0))</f>
        <v>#N/A</v>
      </c>
    </row>
    <row r="62" spans="1:59" s="120" customFormat="1" x14ac:dyDescent="0.25">
      <c r="B62" s="365" t="str">
        <f>+IF(ISERROR(INDEX(INPUT!$B$136:$B$146,MATCH(10,INPUT!$AH$136:$AH$146,0))),"",BG62)</f>
        <v/>
      </c>
      <c r="C62" s="366"/>
      <c r="D62" s="366"/>
      <c r="E62" s="366"/>
      <c r="F62" s="366"/>
      <c r="G62" s="367"/>
      <c r="H62" s="360" t="str">
        <f>+IF(ISERROR(INDEX(INPUT!$G$136:$G$146,MATCH(10,INPUT!$AH$136:$AH$146,0))),"",INDEX(INPUT!$G$136:$G$146,MATCH(10,INPUT!$AH$136:$AH$146,0)))</f>
        <v/>
      </c>
      <c r="I62" s="361"/>
      <c r="J62" s="361"/>
      <c r="K62" s="362"/>
      <c r="L62" s="357" t="str">
        <f>+IF(ISERROR(INDEX(INPUT!$H$136:$H$146,MATCH(10,INPUT!$AH$136:$AH$146,0))),"",INDEX(INPUT!$H$136:$H$146,MATCH(10,INPUT!$AH$136:$AH$146,0)))</f>
        <v/>
      </c>
      <c r="M62" s="358"/>
      <c r="N62" s="358"/>
      <c r="O62" s="359"/>
      <c r="AV62" s="203"/>
      <c r="AX62" s="203" t="str">
        <f t="shared" si="1"/>
        <v/>
      </c>
      <c r="BE62" s="200">
        <v>10</v>
      </c>
      <c r="BF62" s="200" t="e">
        <f>+INDEX(INPUT!$AI$136:$AI$146,MATCH('SCHEDA DI INTERVENTO'!BE62,INPUT!$AH$136:$AH$146,0))</f>
        <v>#N/A</v>
      </c>
      <c r="BG62" s="200" t="e">
        <f>+INDEX(INPUT!$AJ$136:$AJ$146,MATCH('SCHEDA DI INTERVENTO'!BE62,INPUT!$AH$136:$AH$146,0))</f>
        <v>#N/A</v>
      </c>
    </row>
    <row r="63" spans="1:59" s="120" customFormat="1" x14ac:dyDescent="0.25">
      <c r="B63" s="365" t="str">
        <f>+IF(ISERROR(INDEX(INPUT!$B$136:$B$146,MATCH(11,INPUT!$AH$136:$AH$146,0))),"",BG63)</f>
        <v/>
      </c>
      <c r="C63" s="366"/>
      <c r="D63" s="366"/>
      <c r="E63" s="366"/>
      <c r="F63" s="366"/>
      <c r="G63" s="367"/>
      <c r="H63" s="360" t="str">
        <f>+IF(ISERROR(INDEX(INPUT!$G$136:$G$146,MATCH(11,INPUT!$AH$136:$AH$146,0))),"",INDEX(INPUT!$G$136:$G$146,MATCH(11,INPUT!$AH$136:$AH$146,0)))</f>
        <v/>
      </c>
      <c r="I63" s="361"/>
      <c r="J63" s="361"/>
      <c r="K63" s="362"/>
      <c r="L63" s="357" t="str">
        <f>+IF(ISERROR(INDEX(INPUT!$H$136:$H$146,MATCH(11,INPUT!$AH$136:$AH$146,0))),"",INDEX(INPUT!$H$136:$H$146,MATCH(11,INPUT!$AH$136:$AH$146,0)))</f>
        <v/>
      </c>
      <c r="M63" s="382"/>
      <c r="N63" s="382"/>
      <c r="O63" s="383"/>
      <c r="AV63" s="203"/>
      <c r="AX63" s="203" t="str">
        <f t="shared" si="1"/>
        <v/>
      </c>
      <c r="BE63" s="200">
        <v>11</v>
      </c>
      <c r="BF63" s="200" t="e">
        <f>+INDEX(INPUT!$AI$136:$AI$146,MATCH('SCHEDA DI INTERVENTO'!BE63,INPUT!$AH$136:$AH$146,0))</f>
        <v>#N/A</v>
      </c>
      <c r="BG63" s="200" t="e">
        <f>+INDEX(INPUT!$AJ$136:$AJ$146,MATCH('SCHEDA DI INTERVENTO'!BE63,INPUT!$AH$136:$AH$146,0))</f>
        <v>#N/A</v>
      </c>
    </row>
    <row r="64" spans="1:59" s="120" customFormat="1" x14ac:dyDescent="0.25">
      <c r="B64" s="365" t="str">
        <f>+IF(ISERROR(INDEX(INPUT!$B$136:$B$146,MATCH(12,INPUT!$AH$136:$AH$146,0))),"",BG64)</f>
        <v/>
      </c>
      <c r="C64" s="366"/>
      <c r="D64" s="366"/>
      <c r="E64" s="366"/>
      <c r="F64" s="366"/>
      <c r="G64" s="367"/>
      <c r="H64" s="360" t="str">
        <f>+IF(ISERROR(INDEX(INPUT!$G$136:$G$146,MATCH(12,INPUT!$AH$136:$AH$146,0))),"",INDEX(INPUT!$G$136:$G$146,MATCH(12,INPUT!$AH$136:$AH$146,0)))</f>
        <v/>
      </c>
      <c r="I64" s="361"/>
      <c r="J64" s="361"/>
      <c r="K64" s="362"/>
      <c r="L64" s="357" t="str">
        <f>+IF(ISERROR(INDEX(INPUT!$H$136:$H$146,MATCH(12,INPUT!$AH$136:$AH$146,0))),"",INDEX(INPUT!$H$136:$H$146,MATCH(12,INPUT!$AH$136:$AH$146,0)))</f>
        <v/>
      </c>
      <c r="M64" s="382"/>
      <c r="N64" s="382"/>
      <c r="O64" s="383"/>
      <c r="AV64" s="203"/>
      <c r="AX64" s="203" t="str">
        <f t="shared" si="1"/>
        <v/>
      </c>
      <c r="BE64" s="200">
        <v>12</v>
      </c>
      <c r="BF64" s="200" t="e">
        <f>+INDEX(INPUT!$AI$136:$AI$146,MATCH('SCHEDA DI INTERVENTO'!BE64,INPUT!$AH$136:$AH$146,0))</f>
        <v>#N/A</v>
      </c>
      <c r="BG64" s="200" t="e">
        <f>+INDEX(INPUT!$AJ$136:$AJ$146,MATCH('SCHEDA DI INTERVENTO'!BE64,INPUT!$AH$136:$AH$146,0))</f>
        <v>#N/A</v>
      </c>
    </row>
    <row r="65" spans="1:58" s="121" customFormat="1" ht="15" customHeight="1" x14ac:dyDescent="0.25">
      <c r="B65" s="414" t="s">
        <v>160</v>
      </c>
      <c r="C65" s="415"/>
      <c r="D65" s="415"/>
      <c r="E65" s="415"/>
      <c r="F65" s="415"/>
      <c r="G65" s="416"/>
      <c r="H65" s="413"/>
      <c r="I65" s="411"/>
      <c r="J65" s="411"/>
      <c r="K65" s="412"/>
      <c r="L65" s="410">
        <f>+SUM(L54:O63)</f>
        <v>228784.33107915003</v>
      </c>
      <c r="M65" s="411"/>
      <c r="N65" s="411"/>
      <c r="O65" s="412"/>
      <c r="AV65" s="204"/>
      <c r="AX65" s="203"/>
      <c r="BF65" s="102"/>
    </row>
    <row r="66" spans="1:58" s="120" customFormat="1" ht="17.25" customHeight="1" x14ac:dyDescent="0.25">
      <c r="B66" s="365" t="str">
        <f>+INPUT!B148</f>
        <v>Eventuale Compartecipazione degli Utenti</v>
      </c>
      <c r="C66" s="366"/>
      <c r="D66" s="366"/>
      <c r="E66" s="366"/>
      <c r="F66" s="366"/>
      <c r="G66" s="367"/>
      <c r="H66" s="381"/>
      <c r="I66" s="358"/>
      <c r="J66" s="358"/>
      <c r="K66" s="359"/>
      <c r="L66" s="357">
        <f>+INPUT!H148</f>
        <v>0</v>
      </c>
      <c r="M66" s="358"/>
      <c r="N66" s="358"/>
      <c r="O66" s="359"/>
      <c r="AV66" s="203"/>
      <c r="AX66" s="203"/>
      <c r="BF66" s="96"/>
    </row>
    <row r="67" spans="1:58" s="121" customFormat="1" ht="15" customHeight="1" x14ac:dyDescent="0.25">
      <c r="B67" s="414" t="s">
        <v>161</v>
      </c>
      <c r="C67" s="415"/>
      <c r="D67" s="415"/>
      <c r="E67" s="415"/>
      <c r="F67" s="415"/>
      <c r="G67" s="416"/>
      <c r="H67" s="413"/>
      <c r="I67" s="411"/>
      <c r="J67" s="411"/>
      <c r="K67" s="412"/>
      <c r="L67" s="410">
        <f>+L65+L66</f>
        <v>228784.33107915003</v>
      </c>
      <c r="M67" s="411"/>
      <c r="N67" s="411"/>
      <c r="O67" s="412"/>
      <c r="AV67" s="204"/>
      <c r="AX67" s="204"/>
      <c r="BF67" s="102"/>
    </row>
    <row r="69" spans="1:58" x14ac:dyDescent="0.25">
      <c r="A69" s="325" t="s">
        <v>163</v>
      </c>
      <c r="B69" s="326"/>
      <c r="C69" s="326"/>
      <c r="D69" s="326"/>
      <c r="E69" s="326"/>
      <c r="F69" s="326"/>
      <c r="G69" s="326"/>
      <c r="H69" s="326"/>
      <c r="I69" s="326"/>
      <c r="J69" s="326"/>
      <c r="K69" s="326"/>
      <c r="L69" s="326"/>
      <c r="M69" s="326"/>
      <c r="N69" s="326"/>
      <c r="O69" s="327"/>
    </row>
    <row r="70" spans="1:58" x14ac:dyDescent="0.25">
      <c r="A70" s="123"/>
      <c r="B70" s="123"/>
      <c r="C70" s="123"/>
      <c r="D70" s="123"/>
      <c r="E70" s="123"/>
      <c r="F70" s="123"/>
      <c r="G70" s="123"/>
      <c r="H70" s="123"/>
      <c r="I70" s="123"/>
      <c r="J70" s="123"/>
      <c r="K70" s="123"/>
      <c r="L70" s="346" t="s">
        <v>168</v>
      </c>
      <c r="M70" s="346"/>
      <c r="N70" s="346"/>
      <c r="O70" s="346"/>
    </row>
    <row r="71" spans="1:58" x14ac:dyDescent="0.25">
      <c r="A71" s="347" t="s">
        <v>164</v>
      </c>
      <c r="B71" s="347"/>
      <c r="C71" s="347"/>
      <c r="D71" s="347"/>
      <c r="E71" s="347"/>
      <c r="F71" s="347"/>
      <c r="G71" s="347"/>
      <c r="H71" s="347"/>
      <c r="I71" s="347"/>
      <c r="J71" s="347"/>
      <c r="K71" s="347"/>
      <c r="L71" s="343">
        <f>INPUT!D125</f>
        <v>45108</v>
      </c>
      <c r="M71" s="344"/>
      <c r="N71" s="344"/>
      <c r="O71" s="345"/>
    </row>
    <row r="72" spans="1:58" x14ac:dyDescent="0.25">
      <c r="A72" s="347" t="s">
        <v>165</v>
      </c>
      <c r="B72" s="347"/>
      <c r="C72" s="347"/>
      <c r="D72" s="347"/>
      <c r="E72" s="347"/>
      <c r="F72" s="347"/>
      <c r="G72" s="347"/>
      <c r="H72" s="347"/>
      <c r="I72" s="347"/>
      <c r="J72" s="347"/>
      <c r="K72" s="347"/>
      <c r="L72" s="343">
        <f>INPUT!D126</f>
        <v>45139</v>
      </c>
      <c r="M72" s="344"/>
      <c r="N72" s="344"/>
      <c r="O72" s="345"/>
    </row>
    <row r="73" spans="1:58" x14ac:dyDescent="0.25">
      <c r="A73" s="347" t="s">
        <v>166</v>
      </c>
      <c r="B73" s="347"/>
      <c r="C73" s="347"/>
      <c r="D73" s="347"/>
      <c r="E73" s="347"/>
      <c r="F73" s="347"/>
      <c r="G73" s="347"/>
      <c r="H73" s="347"/>
      <c r="I73" s="347"/>
      <c r="J73" s="347"/>
      <c r="K73" s="347"/>
      <c r="L73" s="343">
        <f>INPUT!D127</f>
        <v>45170</v>
      </c>
      <c r="M73" s="344"/>
      <c r="N73" s="344"/>
      <c r="O73" s="345"/>
    </row>
    <row r="74" spans="1:58" x14ac:dyDescent="0.25">
      <c r="A74" s="347" t="s">
        <v>167</v>
      </c>
      <c r="B74" s="347"/>
      <c r="C74" s="347"/>
      <c r="D74" s="347"/>
      <c r="E74" s="347"/>
      <c r="F74" s="347"/>
      <c r="G74" s="347"/>
      <c r="H74" s="347"/>
      <c r="I74" s="347"/>
      <c r="J74" s="347"/>
      <c r="K74" s="347"/>
      <c r="L74" s="343">
        <f>INPUT!D128</f>
        <v>45474</v>
      </c>
      <c r="M74" s="344"/>
      <c r="N74" s="344"/>
      <c r="O74" s="345"/>
    </row>
    <row r="76" spans="1:58" x14ac:dyDescent="0.25">
      <c r="A76" s="316" t="s">
        <v>170</v>
      </c>
      <c r="B76" s="317"/>
      <c r="C76" s="317"/>
      <c r="D76" s="317"/>
      <c r="E76" s="317"/>
      <c r="F76" s="317"/>
      <c r="G76" s="317"/>
      <c r="H76" s="317"/>
      <c r="I76" s="317"/>
      <c r="J76" s="317"/>
      <c r="K76" s="317"/>
      <c r="L76" s="317"/>
      <c r="AK76" s="308"/>
      <c r="AL76" s="308"/>
      <c r="AM76" s="308"/>
      <c r="AN76" s="308"/>
      <c r="AO76" s="308"/>
      <c r="AP76" s="308"/>
      <c r="AQ76" s="308"/>
      <c r="AR76" s="308"/>
      <c r="AS76" s="308"/>
      <c r="AT76" s="308"/>
    </row>
    <row r="78" spans="1:58" x14ac:dyDescent="0.25">
      <c r="D78" s="348" t="s">
        <v>334</v>
      </c>
      <c r="E78" s="349"/>
      <c r="F78" s="350"/>
      <c r="G78" s="348" t="s">
        <v>339</v>
      </c>
      <c r="H78" s="349"/>
      <c r="I78" s="350"/>
      <c r="J78" s="348" t="s">
        <v>340</v>
      </c>
      <c r="K78" s="349"/>
      <c r="L78" s="350"/>
      <c r="M78" s="309"/>
      <c r="N78" s="309"/>
      <c r="O78" s="309"/>
      <c r="P78" s="309"/>
      <c r="Q78" s="309"/>
      <c r="R78" s="309"/>
      <c r="S78" s="309"/>
      <c r="T78" s="309"/>
      <c r="U78" s="309"/>
      <c r="V78" s="309"/>
      <c r="W78" s="309"/>
      <c r="X78" s="309"/>
      <c r="Y78" s="309"/>
      <c r="Z78" s="309"/>
      <c r="AA78" s="309"/>
      <c r="AB78" s="309"/>
      <c r="AC78" s="309"/>
      <c r="AD78" s="309"/>
      <c r="AE78" s="309"/>
      <c r="AF78" s="309"/>
      <c r="AG78" s="309"/>
      <c r="AH78" s="309"/>
      <c r="AI78" s="309"/>
      <c r="AJ78" s="309"/>
      <c r="AK78" s="309"/>
      <c r="AL78" s="309"/>
      <c r="AM78" s="309"/>
      <c r="AN78" s="309"/>
      <c r="AO78" s="309"/>
      <c r="AP78" s="309"/>
      <c r="AQ78" s="309"/>
      <c r="AR78" s="309"/>
      <c r="AS78" s="309"/>
      <c r="AT78" s="309"/>
    </row>
    <row r="79" spans="1:58" x14ac:dyDescent="0.25">
      <c r="D79" s="340">
        <f>+INPUT!C112</f>
        <v>83194.302210600013</v>
      </c>
      <c r="E79" s="341"/>
      <c r="F79" s="342"/>
      <c r="G79" s="340">
        <f>+INPUT!D112</f>
        <v>124791.4533159</v>
      </c>
      <c r="H79" s="341"/>
      <c r="I79" s="342"/>
      <c r="J79" s="340">
        <f>+INPUT!E112</f>
        <v>20798.575552650003</v>
      </c>
      <c r="K79" s="341"/>
      <c r="L79" s="342"/>
      <c r="M79" s="310"/>
      <c r="N79" s="310"/>
      <c r="O79" s="310"/>
      <c r="P79" s="310"/>
      <c r="Q79" s="310"/>
      <c r="R79" s="310"/>
      <c r="S79" s="310"/>
      <c r="T79" s="310"/>
      <c r="U79" s="310"/>
      <c r="V79" s="310"/>
      <c r="W79" s="310"/>
      <c r="X79" s="310"/>
      <c r="Y79" s="310"/>
      <c r="Z79" s="310"/>
      <c r="AA79" s="310"/>
      <c r="AB79" s="310"/>
      <c r="AC79" s="310"/>
      <c r="AD79" s="310"/>
      <c r="AE79" s="310"/>
      <c r="AF79" s="310"/>
      <c r="AG79" s="310"/>
      <c r="AH79" s="310"/>
      <c r="AI79" s="310"/>
      <c r="AJ79" s="310"/>
      <c r="AK79" s="310"/>
      <c r="AL79" s="310"/>
      <c r="AM79" s="310"/>
      <c r="AN79" s="310"/>
      <c r="AO79" s="310"/>
      <c r="AP79" s="310"/>
      <c r="AQ79" s="310"/>
      <c r="AR79" s="310"/>
      <c r="AS79" s="310"/>
      <c r="AT79" s="310"/>
    </row>
    <row r="81" spans="1:48" x14ac:dyDescent="0.25">
      <c r="A81" s="316" t="s">
        <v>172</v>
      </c>
      <c r="B81" s="317"/>
      <c r="C81" s="317"/>
      <c r="D81" s="317"/>
      <c r="E81" s="317"/>
      <c r="F81" s="317"/>
      <c r="G81" s="317"/>
      <c r="H81" s="317"/>
      <c r="I81" s="317"/>
      <c r="J81" s="317"/>
      <c r="K81" s="317"/>
      <c r="L81" s="317"/>
      <c r="AK81" s="308"/>
      <c r="AL81" s="308"/>
      <c r="AM81" s="308"/>
      <c r="AN81" s="308"/>
      <c r="AO81" s="308"/>
      <c r="AP81" s="308"/>
      <c r="AQ81" s="308"/>
      <c r="AR81" s="308"/>
      <c r="AS81" s="308"/>
      <c r="AT81" s="308"/>
    </row>
    <row r="82" spans="1:48" x14ac:dyDescent="0.25">
      <c r="D82" s="348" t="s">
        <v>334</v>
      </c>
      <c r="E82" s="349"/>
      <c r="F82" s="350"/>
      <c r="G82" s="348" t="s">
        <v>339</v>
      </c>
      <c r="H82" s="349"/>
      <c r="I82" s="350"/>
      <c r="J82" s="348" t="s">
        <v>340</v>
      </c>
      <c r="K82" s="349"/>
      <c r="L82" s="350"/>
      <c r="M82" s="309"/>
      <c r="N82" s="309"/>
      <c r="O82" s="309"/>
      <c r="P82" s="309"/>
      <c r="Q82" s="309"/>
      <c r="R82" s="309"/>
      <c r="S82" s="309"/>
      <c r="T82" s="309"/>
      <c r="U82" s="309"/>
      <c r="V82" s="309"/>
      <c r="W82" s="309"/>
      <c r="X82" s="309"/>
      <c r="Y82" s="309"/>
      <c r="Z82" s="309"/>
      <c r="AA82" s="309"/>
      <c r="AB82" s="309"/>
      <c r="AC82" s="309"/>
      <c r="AD82" s="309"/>
      <c r="AE82" s="309"/>
      <c r="AF82" s="309"/>
      <c r="AG82" s="309"/>
      <c r="AH82" s="309"/>
      <c r="AI82" s="309"/>
      <c r="AJ82" s="309"/>
      <c r="AK82" s="309"/>
      <c r="AL82" s="309"/>
      <c r="AM82" s="309"/>
      <c r="AN82" s="309"/>
      <c r="AO82" s="309"/>
      <c r="AP82" s="309"/>
      <c r="AQ82" s="309"/>
      <c r="AR82" s="309"/>
      <c r="AS82" s="309"/>
      <c r="AT82" s="309"/>
    </row>
    <row r="83" spans="1:48" x14ac:dyDescent="0.25">
      <c r="D83" s="340">
        <f>+INPUT!C118</f>
        <v>83194.302210600013</v>
      </c>
      <c r="E83" s="341"/>
      <c r="F83" s="342"/>
      <c r="G83" s="340">
        <f>+INPUT!D118</f>
        <v>124791.4533159</v>
      </c>
      <c r="H83" s="341"/>
      <c r="I83" s="342"/>
      <c r="J83" s="340">
        <f>+INPUT!E118</f>
        <v>20798.575552650003</v>
      </c>
      <c r="K83" s="341"/>
      <c r="L83" s="342"/>
      <c r="M83" s="310"/>
      <c r="N83" s="310"/>
      <c r="O83" s="310"/>
      <c r="P83" s="310"/>
      <c r="Q83" s="310"/>
      <c r="R83" s="310"/>
      <c r="S83" s="310"/>
      <c r="T83" s="310"/>
      <c r="U83" s="310"/>
      <c r="V83" s="310"/>
      <c r="W83" s="310"/>
      <c r="X83" s="310"/>
      <c r="Y83" s="310"/>
      <c r="Z83" s="310"/>
      <c r="AA83" s="310"/>
      <c r="AB83" s="310"/>
      <c r="AC83" s="310"/>
      <c r="AD83" s="310"/>
      <c r="AE83" s="310"/>
      <c r="AF83" s="310"/>
      <c r="AG83" s="310"/>
      <c r="AH83" s="310"/>
      <c r="AI83" s="310"/>
      <c r="AJ83" s="310"/>
      <c r="AK83" s="310"/>
      <c r="AL83" s="310"/>
      <c r="AM83" s="310"/>
      <c r="AN83" s="310"/>
      <c r="AO83" s="310"/>
      <c r="AP83" s="310"/>
      <c r="AQ83" s="310"/>
      <c r="AR83" s="310"/>
      <c r="AS83" s="310"/>
      <c r="AT83" s="310"/>
    </row>
    <row r="85" spans="1:48" x14ac:dyDescent="0.25">
      <c r="A85" s="325" t="s">
        <v>266</v>
      </c>
      <c r="B85" s="326"/>
      <c r="C85" s="326"/>
      <c r="D85" s="326"/>
      <c r="E85" s="326"/>
      <c r="F85" s="326"/>
      <c r="G85" s="326"/>
      <c r="H85" s="326"/>
      <c r="I85" s="326"/>
      <c r="J85" s="326"/>
      <c r="K85" s="326"/>
      <c r="L85" s="326"/>
      <c r="M85" s="326"/>
      <c r="N85" s="326"/>
      <c r="O85" s="327"/>
    </row>
    <row r="87" spans="1:48" x14ac:dyDescent="0.25">
      <c r="A87" t="s">
        <v>138</v>
      </c>
      <c r="B87" s="368" t="s">
        <v>267</v>
      </c>
      <c r="C87" s="368"/>
      <c r="D87" s="368"/>
      <c r="E87" s="368"/>
      <c r="F87" s="368"/>
      <c r="G87" s="368"/>
      <c r="H87" s="368"/>
      <c r="I87" s="368"/>
      <c r="J87" s="368"/>
      <c r="K87" s="368"/>
      <c r="L87" s="368"/>
      <c r="M87" s="372" t="str">
        <f>+INPUT!C95</f>
        <v>No</v>
      </c>
      <c r="N87" s="373"/>
      <c r="O87" s="374"/>
    </row>
    <row r="89" spans="1:48" ht="45" x14ac:dyDescent="0.25">
      <c r="A89" s="96" t="s">
        <v>140</v>
      </c>
      <c r="B89" s="333" t="str">
        <f>+IF(M87="Si","Motivazione circa la differenza tra il costo rilevato da indagine di mercato ed il costo stimato (specificando espressamente come sia possibile garantire il rispetto dei requisiti strutturali ed organizzativi del servizio con il costo rilevato a mercato)","Specificare le tariffe ordinariamente richieste dai soggetti gestori individuati a trattativa privata/con affidamento diretto e inserire l'impegno a non riconoscere tariffe superiori a quelle ordinariamente richieste dai soggetti gestori ai privati")</f>
        <v>Specificare le tariffe ordinariamente richieste dai soggetti gestori individuati a trattativa privata/con affidamento diretto e inserire l'impegno a non riconoscere tariffe superiori a quelle ordinariamente richieste dai soggetti gestori ai privati</v>
      </c>
      <c r="C89" s="333"/>
      <c r="D89" s="333"/>
      <c r="E89" s="333"/>
      <c r="F89" s="333"/>
      <c r="G89" s="333"/>
      <c r="H89" s="333"/>
      <c r="I89" s="333"/>
      <c r="J89" s="333"/>
      <c r="K89" s="333"/>
      <c r="L89" s="333"/>
      <c r="M89" s="333"/>
      <c r="N89" s="333"/>
      <c r="O89" s="333"/>
      <c r="AV89" s="206" t="str">
        <f>+B89</f>
        <v>Specificare le tariffe ordinariamente richieste dai soggetti gestori individuati a trattativa privata/con affidamento diretto e inserire l'impegno a non riconoscere tariffe superiori a quelle ordinariamente richieste dai soggetti gestori ai privati</v>
      </c>
    </row>
    <row r="90" spans="1:48" x14ac:dyDescent="0.25">
      <c r="E90" s="375">
        <f>+IF(M87="Si",INPUT!C98,INPUT!C96)</f>
        <v>0</v>
      </c>
      <c r="F90" s="376"/>
      <c r="G90" s="376"/>
      <c r="H90" s="376"/>
      <c r="I90" s="376"/>
      <c r="J90" s="376"/>
      <c r="K90" s="376"/>
      <c r="L90" s="376"/>
      <c r="M90" s="376"/>
      <c r="N90" s="376"/>
      <c r="O90" s="377"/>
      <c r="AV90" s="206">
        <f>+E90</f>
        <v>0</v>
      </c>
    </row>
    <row r="92" spans="1:48" x14ac:dyDescent="0.25">
      <c r="A92" t="s">
        <v>142</v>
      </c>
      <c r="B92" s="368" t="s">
        <v>262</v>
      </c>
      <c r="C92" s="368"/>
      <c r="D92" s="368"/>
      <c r="E92" s="368"/>
      <c r="F92" s="368"/>
      <c r="G92" s="368"/>
      <c r="H92" s="368"/>
      <c r="I92" s="368"/>
      <c r="J92" s="368"/>
      <c r="K92" s="368"/>
      <c r="L92" s="368"/>
      <c r="M92" s="369">
        <f>+INPUT!C97</f>
        <v>0</v>
      </c>
      <c r="N92" s="370"/>
      <c r="O92" s="371"/>
    </row>
  </sheetData>
  <sheetProtection algorithmName="SHA-512" hashValue="Wr8ML15vHZWhTCHY645f4STteX0y5BiPjDQPzjEax6yxR2wMtbiM6kgduG/hMHM3KZhNQJI5W/gnGdeVuSWUtA==" saltValue="RawTV+qqsBRHcdNvCPznhA==" spinCount="100000" sheet="1" objects="1" scenarios="1" formatRows="0"/>
  <mergeCells count="122">
    <mergeCell ref="B65:G65"/>
    <mergeCell ref="B67:G67"/>
    <mergeCell ref="B62:G62"/>
    <mergeCell ref="B60:G60"/>
    <mergeCell ref="B55:G55"/>
    <mergeCell ref="B57:G57"/>
    <mergeCell ref="B58:G58"/>
    <mergeCell ref="L55:O55"/>
    <mergeCell ref="H56:K56"/>
    <mergeCell ref="B56:G56"/>
    <mergeCell ref="L59:O59"/>
    <mergeCell ref="H65:K65"/>
    <mergeCell ref="L61:O61"/>
    <mergeCell ref="B64:G64"/>
    <mergeCell ref="B59:G59"/>
    <mergeCell ref="L21:M21"/>
    <mergeCell ref="L22:M22"/>
    <mergeCell ref="I26:J26"/>
    <mergeCell ref="I27:J27"/>
    <mergeCell ref="H62:K62"/>
    <mergeCell ref="L65:O65"/>
    <mergeCell ref="H67:K67"/>
    <mergeCell ref="L67:O67"/>
    <mergeCell ref="H59:K59"/>
    <mergeCell ref="H63:K63"/>
    <mergeCell ref="H57:K57"/>
    <mergeCell ref="H61:K61"/>
    <mergeCell ref="H58:K58"/>
    <mergeCell ref="L58:O58"/>
    <mergeCell ref="H60:K60"/>
    <mergeCell ref="L60:O60"/>
    <mergeCell ref="L62:O62"/>
    <mergeCell ref="B10:D10"/>
    <mergeCell ref="A52:O52"/>
    <mergeCell ref="E37:O37"/>
    <mergeCell ref="B24:D24"/>
    <mergeCell ref="E24:G24"/>
    <mergeCell ref="B12:J12"/>
    <mergeCell ref="E27:G27"/>
    <mergeCell ref="K12:O12"/>
    <mergeCell ref="B22:D22"/>
    <mergeCell ref="E22:G22"/>
    <mergeCell ref="I21:J21"/>
    <mergeCell ref="I22:J22"/>
    <mergeCell ref="E41:O41"/>
    <mergeCell ref="E43:O43"/>
    <mergeCell ref="E10:O10"/>
    <mergeCell ref="E11:O11"/>
    <mergeCell ref="A14:O14"/>
    <mergeCell ref="E16:O16"/>
    <mergeCell ref="E18:O18"/>
    <mergeCell ref="B11:D11"/>
    <mergeCell ref="B33:D33"/>
    <mergeCell ref="B27:D27"/>
    <mergeCell ref="B29:D29"/>
    <mergeCell ref="E29:G29"/>
    <mergeCell ref="A1:O1"/>
    <mergeCell ref="A5:O5"/>
    <mergeCell ref="E6:O6"/>
    <mergeCell ref="E7:O7"/>
    <mergeCell ref="E8:O8"/>
    <mergeCell ref="E9:O9"/>
    <mergeCell ref="A2:O2"/>
    <mergeCell ref="A3:O3"/>
    <mergeCell ref="A4:O4"/>
    <mergeCell ref="B6:D6"/>
    <mergeCell ref="B7:D7"/>
    <mergeCell ref="B8:D8"/>
    <mergeCell ref="B9:D9"/>
    <mergeCell ref="B92:L92"/>
    <mergeCell ref="M92:O92"/>
    <mergeCell ref="A85:O85"/>
    <mergeCell ref="B87:L87"/>
    <mergeCell ref="M87:O87"/>
    <mergeCell ref="E90:O90"/>
    <mergeCell ref="B89:O89"/>
    <mergeCell ref="E45:O45"/>
    <mergeCell ref="E47:O47"/>
    <mergeCell ref="E49:O49"/>
    <mergeCell ref="A71:K71"/>
    <mergeCell ref="H66:K66"/>
    <mergeCell ref="B66:G66"/>
    <mergeCell ref="B63:G63"/>
    <mergeCell ref="L66:O66"/>
    <mergeCell ref="B61:G61"/>
    <mergeCell ref="L63:O63"/>
    <mergeCell ref="H53:K53"/>
    <mergeCell ref="L53:O53"/>
    <mergeCell ref="L57:O57"/>
    <mergeCell ref="H64:K64"/>
    <mergeCell ref="L64:O64"/>
    <mergeCell ref="L71:O71"/>
    <mergeCell ref="A72:K72"/>
    <mergeCell ref="E31:G31"/>
    <mergeCell ref="B31:D31"/>
    <mergeCell ref="E39:O39"/>
    <mergeCell ref="L54:O54"/>
    <mergeCell ref="L56:O56"/>
    <mergeCell ref="H55:K55"/>
    <mergeCell ref="A53:F53"/>
    <mergeCell ref="E33:G33"/>
    <mergeCell ref="B54:G54"/>
    <mergeCell ref="H54:K54"/>
    <mergeCell ref="G83:I83"/>
    <mergeCell ref="L74:O74"/>
    <mergeCell ref="A69:O69"/>
    <mergeCell ref="L73:O73"/>
    <mergeCell ref="L70:O70"/>
    <mergeCell ref="L72:O72"/>
    <mergeCell ref="A73:K73"/>
    <mergeCell ref="A74:K74"/>
    <mergeCell ref="D78:F78"/>
    <mergeCell ref="D79:F79"/>
    <mergeCell ref="D82:F82"/>
    <mergeCell ref="D83:F83"/>
    <mergeCell ref="J82:L82"/>
    <mergeCell ref="J83:L83"/>
    <mergeCell ref="J78:L78"/>
    <mergeCell ref="J79:L79"/>
    <mergeCell ref="G78:I78"/>
    <mergeCell ref="G79:I79"/>
    <mergeCell ref="G82:I82"/>
  </mergeCells>
  <phoneticPr fontId="1" type="noConversion"/>
  <conditionalFormatting sqref="A92:O92">
    <cfRule type="expression" dxfId="5" priority="2" stopIfTrue="1">
      <formula>$M$87="No"</formula>
    </cfRule>
  </conditionalFormatting>
  <conditionalFormatting sqref="H54:K64">
    <cfRule type="expression" dxfId="4" priority="1" stopIfTrue="1">
      <formula>BF54="percentuale"</formula>
    </cfRule>
  </conditionalFormatting>
  <pageMargins left="0.70866141732283472" right="0.70866141732283472" top="1.1811023622047245" bottom="0.74803149606299213" header="0" footer="0.31496062992125984"/>
  <pageSetup paperSize="9" scale="77" fitToHeight="0" orientation="portrait" r:id="rId1"/>
  <headerFooter>
    <oddHeader>&amp;R&amp;G</oddHeader>
    <oddFooter>&amp;C&amp;P</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4"/>
  <dimension ref="A1:M3"/>
  <sheetViews>
    <sheetView zoomScale="85" zoomScaleNormal="85" workbookViewId="0">
      <selection activeCell="K9" sqref="K8:K9"/>
    </sheetView>
  </sheetViews>
  <sheetFormatPr defaultColWidth="9" defaultRowHeight="15" x14ac:dyDescent="0.25"/>
  <cols>
    <col min="9" max="10" width="15.5703125" customWidth="1"/>
  </cols>
  <sheetData>
    <row r="1" spans="1:13" x14ac:dyDescent="0.25">
      <c r="D1" s="217" t="s">
        <v>282</v>
      </c>
      <c r="E1" s="417" t="s">
        <v>341</v>
      </c>
      <c r="F1" s="418"/>
      <c r="G1" s="418"/>
      <c r="H1" s="419"/>
      <c r="I1" s="417" t="s">
        <v>342</v>
      </c>
      <c r="J1" s="418"/>
      <c r="K1" s="418"/>
      <c r="L1" s="419"/>
      <c r="M1" s="217" t="s">
        <v>282</v>
      </c>
    </row>
    <row r="2" spans="1:13" x14ac:dyDescent="0.25">
      <c r="A2" s="164" t="s">
        <v>268</v>
      </c>
      <c r="B2" s="164" t="s">
        <v>269</v>
      </c>
      <c r="C2" s="11" t="s">
        <v>270</v>
      </c>
      <c r="D2" s="24">
        <v>2023</v>
      </c>
      <c r="E2" s="165" t="s">
        <v>343</v>
      </c>
      <c r="F2" s="164" t="s">
        <v>344</v>
      </c>
      <c r="G2" s="164" t="s">
        <v>345</v>
      </c>
      <c r="H2" s="166" t="s">
        <v>346</v>
      </c>
      <c r="I2" s="165" t="s">
        <v>347</v>
      </c>
      <c r="J2" s="164" t="s">
        <v>348</v>
      </c>
      <c r="K2" s="164" t="s">
        <v>349</v>
      </c>
      <c r="L2" s="166" t="s">
        <v>350</v>
      </c>
      <c r="M2" s="24">
        <v>2024</v>
      </c>
    </row>
    <row r="3" spans="1:13" ht="15.75" thickBot="1" x14ac:dyDescent="0.3">
      <c r="A3" s="197">
        <v>2</v>
      </c>
      <c r="B3" s="198" t="str">
        <f>+'SCHEDA DI INTERVENTO'!E6</f>
        <v>Acquisto di posti-utente in strutture private accreditate</v>
      </c>
      <c r="C3" s="199" t="str">
        <f>+'SCHEDA DI INTERVENTO'!A3</f>
        <v>Nido / Micro-nido</v>
      </c>
      <c r="D3" s="218"/>
      <c r="E3" s="225">
        <f>+IF('SCHEDA DI INTERVENTO'!I22&gt;0,'SCHEDA DI INTERVENTO'!E24,0)</f>
        <v>0</v>
      </c>
      <c r="F3" s="226">
        <f>+'SCHEDA DI INTERVENTO'!I22-esprortazione!E3</f>
        <v>30</v>
      </c>
      <c r="G3" s="226"/>
      <c r="H3" s="227"/>
      <c r="I3" s="228">
        <f>+'SCHEDA DI INTERVENTO'!$L$22/'SCHEDA DI INTERVENTO'!$E$22*E3</f>
        <v>0</v>
      </c>
      <c r="J3" s="229">
        <f>+'SCHEDA DI INTERVENTO'!$L$22/'SCHEDA DI INTERVENTO'!$E$22*F3</f>
        <v>228784.33107915</v>
      </c>
      <c r="K3" s="229"/>
      <c r="L3" s="230"/>
      <c r="M3" s="230"/>
    </row>
  </sheetData>
  <sheetProtection algorithmName="SHA-512" hashValue="BFjh/bKbP8d014Y8UJ5Ln6RPgqatuKhTO+nS4fqEBdbkSt4bUiIm1ELGFiif0re9ZAPQdJpKtnnnrdBHfqhg3A==" saltValue="6WLf8auLDU8f0WJAv7o86g==" spinCount="100000" sheet="1" objects="1" scenarios="1"/>
  <mergeCells count="2">
    <mergeCell ref="E1:H1"/>
    <mergeCell ref="I1:L1"/>
  </mergeCells>
  <phoneticPr fontId="1" type="noConversion"/>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2"/>
  <dimension ref="A1:V28"/>
  <sheetViews>
    <sheetView workbookViewId="0">
      <selection activeCell="N3" sqref="N3"/>
    </sheetView>
  </sheetViews>
  <sheetFormatPr defaultRowHeight="15" x14ac:dyDescent="0.25"/>
  <cols>
    <col min="1" max="1" width="18.5703125" bestFit="1" customWidth="1"/>
    <col min="6" max="6" width="16.42578125" bestFit="1" customWidth="1"/>
    <col min="7" max="7" width="14.42578125" bestFit="1" customWidth="1"/>
    <col min="8" max="8" width="19" bestFit="1" customWidth="1"/>
  </cols>
  <sheetData>
    <row r="1" spans="1:22" x14ac:dyDescent="0.25">
      <c r="A1" t="s">
        <v>25</v>
      </c>
      <c r="B1" t="s">
        <v>17</v>
      </c>
      <c r="F1" t="s">
        <v>26</v>
      </c>
      <c r="G1" t="s">
        <v>117</v>
      </c>
      <c r="H1" t="s">
        <v>44</v>
      </c>
      <c r="K1" s="107" t="s">
        <v>133</v>
      </c>
      <c r="L1" s="108"/>
      <c r="N1" t="s">
        <v>321</v>
      </c>
      <c r="O1" t="s">
        <v>322</v>
      </c>
      <c r="S1" t="s">
        <v>323</v>
      </c>
    </row>
    <row r="2" spans="1:22" x14ac:dyDescent="0.25">
      <c r="A2" t="s">
        <v>4</v>
      </c>
      <c r="B2" s="302">
        <f t="shared" ref="B2:B18" si="0">+SUMPRODUCT(($S$2:$V$2=$N$2)*$S6:$V6)</f>
        <v>15.72</v>
      </c>
      <c r="D2" t="s">
        <v>4</v>
      </c>
      <c r="F2" t="s">
        <v>27</v>
      </c>
      <c r="G2" s="302">
        <f t="shared" ref="G2:H24" si="1">+O6</f>
        <v>25.06</v>
      </c>
      <c r="H2" s="302">
        <f t="shared" si="1"/>
        <v>26.76</v>
      </c>
      <c r="K2" s="109" t="str">
        <f>+IF(INPUT!$C$29=INPUT!$C$190,'CCNL-appoggio'!A2,IF(INPUT!$C$29=INPUT!#REF!,'CCNL-appoggio'!F2,'CCNL-appoggio'!F2))</f>
        <v>A1</v>
      </c>
      <c r="L2" s="110">
        <f>+IF(INPUT!$C$29=INPUT!$C$190,'CCNL-appoggio'!B2,IF(INPUT!$C$29="non attivo",'CCNL-appoggio'!G2,'CCNL-appoggio'!H2))</f>
        <v>15.72</v>
      </c>
      <c r="N2" s="301" t="str">
        <f>+INPUT!C30</f>
        <v>da settembre 2020</v>
      </c>
      <c r="O2" s="97" t="s">
        <v>298</v>
      </c>
      <c r="S2" s="97" t="s">
        <v>298</v>
      </c>
      <c r="T2" s="97" t="s">
        <v>299</v>
      </c>
      <c r="U2" s="97" t="s">
        <v>300</v>
      </c>
      <c r="V2" s="97" t="s">
        <v>301</v>
      </c>
    </row>
    <row r="3" spans="1:22" x14ac:dyDescent="0.25">
      <c r="A3" t="s">
        <v>5</v>
      </c>
      <c r="B3" s="302">
        <f t="shared" si="0"/>
        <v>15.92</v>
      </c>
      <c r="D3" t="s">
        <v>5</v>
      </c>
      <c r="F3" t="s">
        <v>28</v>
      </c>
      <c r="G3" s="302">
        <f t="shared" si="1"/>
        <v>23.44</v>
      </c>
      <c r="H3" s="302">
        <f t="shared" si="1"/>
        <v>25.03</v>
      </c>
      <c r="K3" s="109" t="str">
        <f>+IF(INPUT!$C$29=INPUT!$C$190,'CCNL-appoggio'!A3,IF(INPUT!$C$29=INPUT!#REF!,'CCNL-appoggio'!F3,'CCNL-appoggio'!F3))</f>
        <v>A2</v>
      </c>
      <c r="L3" s="110">
        <f>+IF(INPUT!$C$29=INPUT!$C$190,'CCNL-appoggio'!B3,IF(INPUT!$C$29="non attivo",'CCNL-appoggio'!G3,'CCNL-appoggio'!H3))</f>
        <v>15.92</v>
      </c>
      <c r="O3" s="97" t="s">
        <v>324</v>
      </c>
    </row>
    <row r="4" spans="1:22" x14ac:dyDescent="0.25">
      <c r="A4" t="s">
        <v>3</v>
      </c>
      <c r="B4" s="302">
        <f t="shared" si="0"/>
        <v>16.73</v>
      </c>
      <c r="D4" t="s">
        <v>3</v>
      </c>
      <c r="F4" t="s">
        <v>29</v>
      </c>
      <c r="G4" s="302">
        <f t="shared" si="1"/>
        <v>22.44</v>
      </c>
      <c r="H4" s="302">
        <f t="shared" si="1"/>
        <v>23.96</v>
      </c>
      <c r="K4" s="109" t="str">
        <f>+IF(INPUT!$C$29=INPUT!$C$190,'CCNL-appoggio'!A4,IF(INPUT!$C$29=INPUT!#REF!,'CCNL-appoggio'!F4,'CCNL-appoggio'!F4))</f>
        <v>B1</v>
      </c>
      <c r="L4" s="110">
        <f>+IF(INPUT!$C$29=INPUT!$C$190,'CCNL-appoggio'!B4,IF(INPUT!$C$29="non attivo",'CCNL-appoggio'!G4,'CCNL-appoggio'!H4))</f>
        <v>16.73</v>
      </c>
    </row>
    <row r="5" spans="1:22" x14ac:dyDescent="0.25">
      <c r="A5" t="s">
        <v>6</v>
      </c>
      <c r="B5" s="302">
        <f t="shared" si="0"/>
        <v>0</v>
      </c>
      <c r="D5" t="s">
        <v>2</v>
      </c>
      <c r="F5" t="s">
        <v>30</v>
      </c>
      <c r="G5" s="302">
        <f t="shared" si="1"/>
        <v>21.52</v>
      </c>
      <c r="H5" s="302">
        <f t="shared" si="1"/>
        <v>22.98</v>
      </c>
      <c r="K5" s="109" t="str">
        <f>+IF(INPUT!$C$29=INPUT!$C$190,'CCNL-appoggio'!A5,IF(INPUT!$C$29=INPUT!#REF!,'CCNL-appoggio'!F5,'CCNL-appoggio'!F5))</f>
        <v>B1 con i.f.</v>
      </c>
      <c r="L5" s="110">
        <f>+IF(INPUT!$C$29=INPUT!$C$190,'CCNL-appoggio'!B5,IF(INPUT!$C$29="non attivo",'CCNL-appoggio'!G5,'CCNL-appoggio'!H5))</f>
        <v>0</v>
      </c>
      <c r="O5" t="s">
        <v>325</v>
      </c>
      <c r="P5" t="s">
        <v>326</v>
      </c>
    </row>
    <row r="6" spans="1:22" x14ac:dyDescent="0.25">
      <c r="A6" t="s">
        <v>2</v>
      </c>
      <c r="B6" s="302">
        <f t="shared" si="0"/>
        <v>18.02</v>
      </c>
      <c r="D6" t="s">
        <v>1</v>
      </c>
      <c r="F6" t="s">
        <v>0</v>
      </c>
      <c r="G6" s="302">
        <f t="shared" si="1"/>
        <v>19.63</v>
      </c>
      <c r="H6" s="302">
        <f t="shared" si="1"/>
        <v>20.97</v>
      </c>
      <c r="K6" s="109" t="str">
        <f>+IF(INPUT!$C$29=INPUT!$C$190,'CCNL-appoggio'!A6,IF(INPUT!$C$29=INPUT!#REF!,'CCNL-appoggio'!F6,'CCNL-appoggio'!F6))</f>
        <v>C1</v>
      </c>
      <c r="L6" s="110">
        <f>+IF(INPUT!$C$29=INPUT!$C$190,'CCNL-appoggio'!B6,IF(INPUT!$C$29="non attivo",'CCNL-appoggio'!G6,'CCNL-appoggio'!H6))</f>
        <v>18.02</v>
      </c>
      <c r="N6" t="s">
        <v>27</v>
      </c>
      <c r="O6" s="301">
        <f t="array" ref="O6:O28">+IF($N$2=$O$2,('CCNL EELL'!$J$6:$J$28), ('CCNL EELL 2018'!$J$6:$J$28))</f>
        <v>25.06</v>
      </c>
      <c r="P6" s="301">
        <f t="array" ref="P6:P28">+IF($N$2=$O$2,('CCNL EELL'!$K$6:$K$28), ('CCNL EELL 2018'!$K$6:$K$28))</f>
        <v>26.76</v>
      </c>
      <c r="R6" t="s">
        <v>4</v>
      </c>
      <c r="S6" s="301">
        <f t="array" ref="S6:S22">+TRANSPOSE(ROUND('CCNL cooperative'!B39:R39,2))</f>
        <v>14.7</v>
      </c>
      <c r="T6" s="301">
        <f t="array" ref="T6:T22">+TRANSPOSE(ROUND('CCNL cooperative (11-19)'!B40:R40,2))</f>
        <v>15.26</v>
      </c>
      <c r="U6" s="301">
        <f t="array" ref="U6:U22">+TRANSPOSE(ROUND('CCNL cooperative (4-20)'!B40:R40,2))</f>
        <v>15.5</v>
      </c>
      <c r="V6" s="301">
        <f t="array" ref="V6:V22">+TRANSPOSE(ROUND('CCNL cooperative (9-20)'!B40:R40,2))</f>
        <v>15.72</v>
      </c>
    </row>
    <row r="7" spans="1:22" x14ac:dyDescent="0.25">
      <c r="A7" t="s">
        <v>1</v>
      </c>
      <c r="B7" s="302">
        <f t="shared" si="0"/>
        <v>18.57</v>
      </c>
      <c r="D7" t="s">
        <v>7</v>
      </c>
      <c r="F7" t="s">
        <v>31</v>
      </c>
      <c r="G7" s="302">
        <f t="shared" si="1"/>
        <v>18.72</v>
      </c>
      <c r="H7" s="302">
        <f t="shared" si="1"/>
        <v>19.989999999999998</v>
      </c>
      <c r="K7" s="109" t="str">
        <f>+IF(INPUT!$C$29=INPUT!$C$190,'CCNL-appoggio'!A7,IF(INPUT!$C$29=INPUT!#REF!,'CCNL-appoggio'!F7,'CCNL-appoggio'!F7))</f>
        <v>C2</v>
      </c>
      <c r="L7" s="110">
        <f>+IF(INPUT!$C$29=INPUT!$C$190,'CCNL-appoggio'!B7,IF(INPUT!$C$29="non attivo",'CCNL-appoggio'!G7,'CCNL-appoggio'!H7))</f>
        <v>18.57</v>
      </c>
      <c r="N7" t="s">
        <v>28</v>
      </c>
      <c r="O7" s="301">
        <v>23.44</v>
      </c>
      <c r="P7" s="301">
        <v>25.03</v>
      </c>
      <c r="R7" t="s">
        <v>5</v>
      </c>
      <c r="S7" s="301">
        <v>14.9</v>
      </c>
      <c r="T7" s="301">
        <v>15.46</v>
      </c>
      <c r="U7" s="301">
        <v>15.71</v>
      </c>
      <c r="V7" s="301">
        <v>15.92</v>
      </c>
    </row>
    <row r="8" spans="1:22" x14ac:dyDescent="0.25">
      <c r="A8" t="s">
        <v>7</v>
      </c>
      <c r="B8" s="302">
        <f t="shared" si="0"/>
        <v>19.13</v>
      </c>
      <c r="D8" t="s">
        <v>0</v>
      </c>
      <c r="F8" t="s">
        <v>32</v>
      </c>
      <c r="G8" s="302">
        <f t="shared" si="1"/>
        <v>19.37</v>
      </c>
      <c r="H8" s="302">
        <f t="shared" si="1"/>
        <v>20.68</v>
      </c>
      <c r="K8" s="109" t="str">
        <f>+IF(INPUT!$C$29=INPUT!$C$190,'CCNL-appoggio'!A8,IF(INPUT!$C$29=INPUT!#REF!,'CCNL-appoggio'!F8,'CCNL-appoggio'!F8))</f>
        <v>C3/D1</v>
      </c>
      <c r="L8" s="110">
        <f>+IF(INPUT!$C$29=INPUT!$C$190,'CCNL-appoggio'!B8,IF(INPUT!$C$29="non attivo",'CCNL-appoggio'!G8,'CCNL-appoggio'!H8))</f>
        <v>19.13</v>
      </c>
      <c r="N8" t="s">
        <v>29</v>
      </c>
      <c r="O8" s="301">
        <v>22.44</v>
      </c>
      <c r="P8" s="301">
        <v>23.96</v>
      </c>
      <c r="R8" t="s">
        <v>3</v>
      </c>
      <c r="S8" s="301">
        <v>15.67</v>
      </c>
      <c r="T8" s="301">
        <v>16.25</v>
      </c>
      <c r="U8" s="301">
        <v>16.510000000000002</v>
      </c>
      <c r="V8" s="301">
        <v>16.73</v>
      </c>
    </row>
    <row r="9" spans="1:22" x14ac:dyDescent="0.25">
      <c r="A9" t="s">
        <v>8</v>
      </c>
      <c r="B9" s="302">
        <f t="shared" si="0"/>
        <v>19.86</v>
      </c>
      <c r="D9" t="s">
        <v>10</v>
      </c>
      <c r="F9" t="s">
        <v>33</v>
      </c>
      <c r="G9" s="302">
        <f t="shared" si="1"/>
        <v>18.68</v>
      </c>
      <c r="H9" s="302">
        <f t="shared" si="1"/>
        <v>19.940000000000001</v>
      </c>
      <c r="K9" s="109" t="str">
        <f>+IF(INPUT!$C$29=INPUT!$C$190,'CCNL-appoggio'!A9,IF(INPUT!$C$29=INPUT!#REF!,'CCNL-appoggio'!F9,'CCNL-appoggio'!F9))</f>
        <v>C3/D1 con i.p.</v>
      </c>
      <c r="L9" s="110">
        <f>+IF(INPUT!$C$29=INPUT!$C$190,'CCNL-appoggio'!B9,IF(INPUT!$C$29="non attivo",'CCNL-appoggio'!G9,'CCNL-appoggio'!H9))</f>
        <v>19.86</v>
      </c>
      <c r="N9" t="s">
        <v>30</v>
      </c>
      <c r="O9" s="301">
        <v>21.52</v>
      </c>
      <c r="P9" s="301">
        <v>22.98</v>
      </c>
      <c r="R9" t="s">
        <v>6</v>
      </c>
      <c r="S9" s="301">
        <v>16.21</v>
      </c>
      <c r="T9" s="301">
        <v>0</v>
      </c>
      <c r="U9" s="301">
        <v>0</v>
      </c>
      <c r="V9" s="301">
        <v>0</v>
      </c>
    </row>
    <row r="10" spans="1:22" x14ac:dyDescent="0.25">
      <c r="A10" t="s">
        <v>0</v>
      </c>
      <c r="B10" s="302">
        <f t="shared" si="0"/>
        <v>20.22</v>
      </c>
      <c r="D10" t="s">
        <v>11</v>
      </c>
      <c r="F10" t="s">
        <v>34</v>
      </c>
      <c r="G10" s="302">
        <f t="shared" si="1"/>
        <v>18.100000000000001</v>
      </c>
      <c r="H10" s="302">
        <f t="shared" si="1"/>
        <v>19.329999999999998</v>
      </c>
      <c r="K10" s="109" t="str">
        <f>+IF(INPUT!$C$29=INPUT!$C$190,'CCNL-appoggio'!A10,IF(INPUT!$C$29=INPUT!#REF!,'CCNL-appoggio'!F10,'CCNL-appoggio'!F10))</f>
        <v>D2</v>
      </c>
      <c r="L10" s="110">
        <f>+IF(INPUT!$C$29=INPUT!$C$190,'CCNL-appoggio'!B10,IF(INPUT!$C$29="non attivo",'CCNL-appoggio'!G10,'CCNL-appoggio'!H10))</f>
        <v>20.22</v>
      </c>
      <c r="N10" t="s">
        <v>0</v>
      </c>
      <c r="O10" s="301">
        <v>19.63</v>
      </c>
      <c r="P10" s="301">
        <v>20.97</v>
      </c>
      <c r="R10" t="s">
        <v>2</v>
      </c>
      <c r="S10" s="301">
        <v>16.89</v>
      </c>
      <c r="T10" s="301">
        <v>17.5</v>
      </c>
      <c r="U10" s="301">
        <v>17.78</v>
      </c>
      <c r="V10" s="301">
        <v>18.02</v>
      </c>
    </row>
    <row r="11" spans="1:22" x14ac:dyDescent="0.25">
      <c r="A11" t="s">
        <v>9</v>
      </c>
      <c r="B11" s="302">
        <f t="shared" si="0"/>
        <v>22.04</v>
      </c>
      <c r="C11" s="34"/>
      <c r="D11" t="s">
        <v>13</v>
      </c>
      <c r="F11" t="s">
        <v>1</v>
      </c>
      <c r="G11" s="302">
        <f t="shared" si="1"/>
        <v>17.61</v>
      </c>
      <c r="H11" s="302">
        <f t="shared" si="1"/>
        <v>18.809999999999999</v>
      </c>
      <c r="K11" s="109" t="str">
        <f>+IF(INPUT!$C$29=INPUT!$C$190,'CCNL-appoggio'!A11,IF(INPUT!$C$29=INPUT!#REF!,'CCNL-appoggio'!F11,'CCNL-appoggio'!F11))</f>
        <v>D2 con i.p.</v>
      </c>
      <c r="L11" s="110">
        <f>+IF(INPUT!$C$29=INPUT!$C$190,'CCNL-appoggio'!B11,IF(INPUT!$C$29="non attivo",'CCNL-appoggio'!G11,'CCNL-appoggio'!H11))</f>
        <v>22.04</v>
      </c>
      <c r="N11" t="s">
        <v>31</v>
      </c>
      <c r="O11" s="301">
        <v>18.72</v>
      </c>
      <c r="P11" s="301">
        <v>19.989999999999998</v>
      </c>
      <c r="R11" t="s">
        <v>1</v>
      </c>
      <c r="S11" s="301">
        <v>17.41</v>
      </c>
      <c r="T11" s="301">
        <v>18.03</v>
      </c>
      <c r="U11" s="301">
        <v>18.32</v>
      </c>
      <c r="V11" s="301">
        <v>18.57</v>
      </c>
    </row>
    <row r="12" spans="1:22" x14ac:dyDescent="0.25">
      <c r="A12" t="s">
        <v>10</v>
      </c>
      <c r="B12" s="302">
        <f t="shared" si="0"/>
        <v>21.59</v>
      </c>
      <c r="D12" t="s">
        <v>15</v>
      </c>
      <c r="F12" t="s">
        <v>2</v>
      </c>
      <c r="G12" s="302">
        <f t="shared" si="1"/>
        <v>17.2</v>
      </c>
      <c r="H12" s="302">
        <f t="shared" si="1"/>
        <v>18.37</v>
      </c>
      <c r="K12" s="109" t="str">
        <f>+IF(INPUT!$C$29=INPUT!$C$190,'CCNL-appoggio'!A12,IF(INPUT!$C$29=INPUT!#REF!,'CCNL-appoggio'!F12,'CCNL-appoggio'!F12))</f>
        <v>D3/E1</v>
      </c>
      <c r="L12" s="110">
        <f>+IF(INPUT!$C$29=INPUT!$C$190,'CCNL-appoggio'!B12,IF(INPUT!$C$29="non attivo",'CCNL-appoggio'!G12,'CCNL-appoggio'!H12))</f>
        <v>21.59</v>
      </c>
      <c r="N12" t="s">
        <v>32</v>
      </c>
      <c r="O12" s="301">
        <v>19.37</v>
      </c>
      <c r="P12" s="301">
        <v>20.68</v>
      </c>
      <c r="R12" t="s">
        <v>7</v>
      </c>
      <c r="S12" s="301">
        <v>17.940000000000001</v>
      </c>
      <c r="T12" s="301">
        <v>18.579999999999998</v>
      </c>
      <c r="U12" s="301">
        <v>18.87</v>
      </c>
      <c r="V12" s="301">
        <v>19.13</v>
      </c>
    </row>
    <row r="13" spans="1:22" x14ac:dyDescent="0.25">
      <c r="A13" t="s">
        <v>11</v>
      </c>
      <c r="B13" s="302">
        <f t="shared" si="0"/>
        <v>24.29</v>
      </c>
      <c r="F13" t="s">
        <v>35</v>
      </c>
      <c r="G13" s="302">
        <f t="shared" si="1"/>
        <v>17.579999999999998</v>
      </c>
      <c r="H13" s="302">
        <f t="shared" si="1"/>
        <v>18.77</v>
      </c>
      <c r="K13" s="109" t="str">
        <f>+IF(INPUT!$C$29=INPUT!$C$190,'CCNL-appoggio'!A13,IF(INPUT!$C$29=INPUT!#REF!,'CCNL-appoggio'!F13,'CCNL-appoggio'!F13))</f>
        <v>E2</v>
      </c>
      <c r="L13" s="110">
        <f>+IF(INPUT!$C$29=INPUT!$C$190,'CCNL-appoggio'!B13,IF(INPUT!$C$29="non attivo",'CCNL-appoggio'!G13,'CCNL-appoggio'!H13))</f>
        <v>24.29</v>
      </c>
      <c r="N13" t="s">
        <v>33</v>
      </c>
      <c r="O13" s="301">
        <v>18.68</v>
      </c>
      <c r="P13" s="301">
        <v>19.940000000000001</v>
      </c>
      <c r="R13" t="s">
        <v>8</v>
      </c>
      <c r="S13" s="301">
        <v>18.66</v>
      </c>
      <c r="T13" s="301">
        <v>19.309999999999999</v>
      </c>
      <c r="U13" s="301">
        <v>19.600000000000001</v>
      </c>
      <c r="V13" s="301">
        <v>19.86</v>
      </c>
    </row>
    <row r="14" spans="1:22" x14ac:dyDescent="0.25">
      <c r="A14" t="s">
        <v>12</v>
      </c>
      <c r="B14" s="302">
        <f t="shared" si="0"/>
        <v>26.42</v>
      </c>
      <c r="F14" t="s">
        <v>36</v>
      </c>
      <c r="G14" s="302">
        <f t="shared" si="1"/>
        <v>16.93</v>
      </c>
      <c r="H14" s="302">
        <f t="shared" si="1"/>
        <v>18.079999999999998</v>
      </c>
      <c r="K14" s="109" t="str">
        <f>+IF(INPUT!$C$29=INPUT!$C$190,'CCNL-appoggio'!A14,IF(INPUT!$C$29=INPUT!#REF!,'CCNL-appoggio'!F14,'CCNL-appoggio'!F14))</f>
        <v>E2 con i.p.</v>
      </c>
      <c r="L14" s="110">
        <f>+IF(INPUT!$C$29=INPUT!$C$190,'CCNL-appoggio'!B14,IF(INPUT!$C$29="non attivo",'CCNL-appoggio'!G14,'CCNL-appoggio'!H14))</f>
        <v>26.42</v>
      </c>
      <c r="N14" t="s">
        <v>34</v>
      </c>
      <c r="O14" s="301">
        <v>18.100000000000001</v>
      </c>
      <c r="P14" s="301">
        <v>19.329999999999998</v>
      </c>
      <c r="R14" t="s">
        <v>0</v>
      </c>
      <c r="S14" s="301">
        <v>18.97</v>
      </c>
      <c r="T14" s="301">
        <v>19.64</v>
      </c>
      <c r="U14" s="301">
        <v>19.95</v>
      </c>
      <c r="V14" s="301">
        <v>20.22</v>
      </c>
    </row>
    <row r="15" spans="1:22" x14ac:dyDescent="0.25">
      <c r="A15" t="s">
        <v>13</v>
      </c>
      <c r="B15" s="302">
        <f t="shared" si="0"/>
        <v>27.79</v>
      </c>
      <c r="F15" t="s">
        <v>37</v>
      </c>
      <c r="G15" s="302">
        <f t="shared" si="1"/>
        <v>16.63</v>
      </c>
      <c r="H15" s="302">
        <f t="shared" si="1"/>
        <v>17.760000000000002</v>
      </c>
      <c r="K15" s="109" t="str">
        <f>+IF(INPUT!$C$29=INPUT!$C$190,'CCNL-appoggio'!A15,IF(INPUT!$C$29=INPUT!#REF!,'CCNL-appoggio'!F15,'CCNL-appoggio'!F15))</f>
        <v>F1</v>
      </c>
      <c r="L15" s="110">
        <f>+IF(INPUT!$C$29=INPUT!$C$190,'CCNL-appoggio'!B15,IF(INPUT!$C$29="non attivo",'CCNL-appoggio'!G15,'CCNL-appoggio'!H15))</f>
        <v>27.79</v>
      </c>
      <c r="N15" t="s">
        <v>1</v>
      </c>
      <c r="O15" s="301">
        <v>17.61</v>
      </c>
      <c r="P15" s="301">
        <v>18.809999999999999</v>
      </c>
      <c r="R15" t="s">
        <v>9</v>
      </c>
      <c r="S15" s="301">
        <v>20.79</v>
      </c>
      <c r="T15" s="301">
        <v>21.46</v>
      </c>
      <c r="U15" s="301">
        <v>21.77</v>
      </c>
      <c r="V15" s="301">
        <v>22.04</v>
      </c>
    </row>
    <row r="16" spans="1:22" x14ac:dyDescent="0.25">
      <c r="A16" t="s">
        <v>14</v>
      </c>
      <c r="B16" s="302">
        <f t="shared" si="0"/>
        <v>29.01</v>
      </c>
      <c r="F16" t="s">
        <v>38</v>
      </c>
      <c r="G16" s="302">
        <f t="shared" si="1"/>
        <v>16.36</v>
      </c>
      <c r="H16" s="302">
        <f t="shared" si="1"/>
        <v>17.47</v>
      </c>
      <c r="K16" s="109" t="str">
        <f>+IF(INPUT!$C$29=INPUT!$C$190,'CCNL-appoggio'!A16,IF(INPUT!$C$29=INPUT!#REF!,'CCNL-appoggio'!F16,'CCNL-appoggio'!F16))</f>
        <v>F1 con i.p.</v>
      </c>
      <c r="L16" s="110">
        <f>+IF(INPUT!$C$29=INPUT!$C$190,'CCNL-appoggio'!B16,IF(INPUT!$C$29="non attivo",'CCNL-appoggio'!G16,'CCNL-appoggio'!H16))</f>
        <v>29.01</v>
      </c>
      <c r="N16" t="s">
        <v>2</v>
      </c>
      <c r="O16" s="301">
        <v>17.2</v>
      </c>
      <c r="P16" s="301">
        <v>18.37</v>
      </c>
      <c r="R16" t="s">
        <v>10</v>
      </c>
      <c r="S16" s="301">
        <v>20.27</v>
      </c>
      <c r="T16" s="301">
        <v>20.97</v>
      </c>
      <c r="U16" s="301">
        <v>21.3</v>
      </c>
      <c r="V16" s="301">
        <v>21.59</v>
      </c>
    </row>
    <row r="17" spans="1:22" x14ac:dyDescent="0.25">
      <c r="A17" t="s">
        <v>15</v>
      </c>
      <c r="B17" s="302">
        <f t="shared" si="0"/>
        <v>32.42</v>
      </c>
      <c r="F17" t="s">
        <v>39</v>
      </c>
      <c r="G17" s="302">
        <f t="shared" si="1"/>
        <v>16.12</v>
      </c>
      <c r="H17" s="302">
        <f t="shared" si="1"/>
        <v>17.21</v>
      </c>
      <c r="K17" s="109" t="str">
        <f>+IF(INPUT!$C$29=INPUT!$C$190,'CCNL-appoggio'!A17,IF(INPUT!$C$29=INPUT!#REF!,'CCNL-appoggio'!F17,'CCNL-appoggio'!F17))</f>
        <v>F2</v>
      </c>
      <c r="L17" s="110">
        <f>+IF(INPUT!$C$29=INPUT!$C$190,'CCNL-appoggio'!B17,IF(INPUT!$C$29="non attivo",'CCNL-appoggio'!G17,'CCNL-appoggio'!H17))</f>
        <v>32.42</v>
      </c>
      <c r="N17" t="s">
        <v>35</v>
      </c>
      <c r="O17" s="301">
        <v>17.579999999999998</v>
      </c>
      <c r="P17" s="301">
        <v>18.77</v>
      </c>
      <c r="R17" t="s">
        <v>11</v>
      </c>
      <c r="S17" s="301">
        <v>22.87</v>
      </c>
      <c r="T17" s="301">
        <v>23.62</v>
      </c>
      <c r="U17" s="301">
        <v>23.98</v>
      </c>
      <c r="V17" s="301">
        <v>24.29</v>
      </c>
    </row>
    <row r="18" spans="1:22" x14ac:dyDescent="0.25">
      <c r="A18" t="s">
        <v>16</v>
      </c>
      <c r="B18" s="302">
        <f t="shared" si="0"/>
        <v>32.42</v>
      </c>
      <c r="F18" t="s">
        <v>40</v>
      </c>
      <c r="G18" s="302">
        <f t="shared" si="1"/>
        <v>15.5</v>
      </c>
      <c r="H18" s="302">
        <f t="shared" si="1"/>
        <v>16.55</v>
      </c>
      <c r="K18" s="109" t="str">
        <f>+IF(INPUT!$C$29=INPUT!$C$190,'CCNL-appoggio'!A18,IF(INPUT!$C$29=INPUT!#REF!,'CCNL-appoggio'!F18,'CCNL-appoggio'!F18))</f>
        <v>F2 con i.d.</v>
      </c>
      <c r="L18" s="110">
        <f>+IF(INPUT!$C$29=INPUT!$C$190,'CCNL-appoggio'!B18,IF(INPUT!$C$29="non attivo",'CCNL-appoggio'!G18,'CCNL-appoggio'!H18))</f>
        <v>32.42</v>
      </c>
      <c r="N18" t="s">
        <v>36</v>
      </c>
      <c r="O18" s="301">
        <v>16.93</v>
      </c>
      <c r="P18" s="301">
        <v>18.079999999999998</v>
      </c>
      <c r="R18" t="s">
        <v>12</v>
      </c>
      <c r="S18" s="301">
        <v>24.99</v>
      </c>
      <c r="T18" s="301">
        <v>25.75</v>
      </c>
      <c r="U18" s="301">
        <v>26.11</v>
      </c>
      <c r="V18" s="301">
        <v>26.42</v>
      </c>
    </row>
    <row r="19" spans="1:22" x14ac:dyDescent="0.25">
      <c r="F19" t="s">
        <v>3</v>
      </c>
      <c r="G19" s="302">
        <f t="shared" si="1"/>
        <v>15.25</v>
      </c>
      <c r="H19" s="302">
        <f t="shared" si="1"/>
        <v>16.28</v>
      </c>
      <c r="K19" s="109">
        <f>+IF(INPUT!$C$29=INPUT!$C$190,'CCNL-appoggio'!A19,IF(INPUT!$C$29=INPUT!#REF!,'CCNL-appoggio'!F19,'CCNL-appoggio'!F19))</f>
        <v>0</v>
      </c>
      <c r="L19" s="110">
        <f>+IF(INPUT!$C$29=INPUT!$C$190,'CCNL-appoggio'!B19,IF(INPUT!$C$29="non attivo",'CCNL-appoggio'!G19,'CCNL-appoggio'!H19))</f>
        <v>0</v>
      </c>
      <c r="N19" t="s">
        <v>37</v>
      </c>
      <c r="O19" s="301">
        <v>16.63</v>
      </c>
      <c r="P19" s="301">
        <v>17.760000000000002</v>
      </c>
      <c r="R19" t="s">
        <v>13</v>
      </c>
      <c r="S19" s="301">
        <v>26.23</v>
      </c>
      <c r="T19" s="301">
        <v>27.05</v>
      </c>
      <c r="U19" s="301">
        <v>27.45</v>
      </c>
      <c r="V19" s="301">
        <v>27.79</v>
      </c>
    </row>
    <row r="20" spans="1:22" x14ac:dyDescent="0.25">
      <c r="F20" t="s">
        <v>41</v>
      </c>
      <c r="G20" s="302">
        <f t="shared" si="1"/>
        <v>15.51</v>
      </c>
      <c r="H20" s="302">
        <f t="shared" si="1"/>
        <v>16.559999999999999</v>
      </c>
      <c r="K20" s="109">
        <f>+IF(INPUT!$C$29=INPUT!$C$190,'CCNL-appoggio'!A20,IF(INPUT!$C$29=INPUT!#REF!,'CCNL-appoggio'!F20,'CCNL-appoggio'!F20))</f>
        <v>0</v>
      </c>
      <c r="L20" s="110">
        <f>+IF(INPUT!$C$29=INPUT!$C$190,'CCNL-appoggio'!B20,IF(INPUT!$C$29="non attivo",'CCNL-appoggio'!G20,'CCNL-appoggio'!H20))</f>
        <v>0</v>
      </c>
      <c r="N20" t="s">
        <v>38</v>
      </c>
      <c r="O20" s="301">
        <v>16.36</v>
      </c>
      <c r="P20" s="301">
        <v>17.47</v>
      </c>
      <c r="R20" t="s">
        <v>14</v>
      </c>
      <c r="S20" s="301">
        <v>27.45</v>
      </c>
      <c r="T20" s="301">
        <v>28.27</v>
      </c>
      <c r="U20" s="301">
        <v>28.66</v>
      </c>
      <c r="V20" s="301">
        <v>29.01</v>
      </c>
    </row>
    <row r="21" spans="1:22" x14ac:dyDescent="0.25">
      <c r="F21" t="s">
        <v>42</v>
      </c>
      <c r="G21" s="302">
        <f t="shared" si="1"/>
        <v>15.2</v>
      </c>
      <c r="H21" s="302">
        <f t="shared" si="1"/>
        <v>16.23</v>
      </c>
      <c r="K21" s="109">
        <f>+IF(INPUT!$C$29=INPUT!$C$190,'CCNL-appoggio'!A21,IF(INPUT!$C$29=INPUT!#REF!,'CCNL-appoggio'!F21,'CCNL-appoggio'!F21))</f>
        <v>0</v>
      </c>
      <c r="L21" s="110">
        <f>+IF(INPUT!$C$29=INPUT!$C$190,'CCNL-appoggio'!B21,IF(INPUT!$C$29="non attivo",'CCNL-appoggio'!G21,'CCNL-appoggio'!H21))</f>
        <v>0</v>
      </c>
      <c r="N21" t="s">
        <v>39</v>
      </c>
      <c r="O21" s="301">
        <v>16.12</v>
      </c>
      <c r="P21" s="301">
        <v>17.21</v>
      </c>
      <c r="R21" t="s">
        <v>15</v>
      </c>
      <c r="S21" s="301">
        <v>30.65</v>
      </c>
      <c r="T21" s="301">
        <v>31.57</v>
      </c>
      <c r="U21" s="301">
        <v>32.020000000000003</v>
      </c>
      <c r="V21" s="301">
        <v>32.42</v>
      </c>
    </row>
    <row r="22" spans="1:22" x14ac:dyDescent="0.25">
      <c r="F22" t="s">
        <v>43</v>
      </c>
      <c r="G22" s="302">
        <f t="shared" si="1"/>
        <v>14.93</v>
      </c>
      <c r="H22" s="302">
        <f t="shared" si="1"/>
        <v>15.94</v>
      </c>
      <c r="K22" s="109">
        <f>+IF(INPUT!$C$29=INPUT!$C$190,'CCNL-appoggio'!A22,IF(INPUT!$C$29=INPUT!#REF!,'CCNL-appoggio'!F22,'CCNL-appoggio'!F22))</f>
        <v>0</v>
      </c>
      <c r="L22" s="110">
        <f>+IF(INPUT!$C$29=INPUT!$C$190,'CCNL-appoggio'!B22,IF(INPUT!$C$29="non attivo",'CCNL-appoggio'!G22,'CCNL-appoggio'!H22))</f>
        <v>0</v>
      </c>
      <c r="N22" t="s">
        <v>40</v>
      </c>
      <c r="O22" s="301">
        <v>15.5</v>
      </c>
      <c r="P22" s="301">
        <v>16.55</v>
      </c>
      <c r="R22" t="s">
        <v>16</v>
      </c>
      <c r="S22" s="301">
        <v>30.65</v>
      </c>
      <c r="T22" s="301">
        <v>31.57</v>
      </c>
      <c r="U22" s="301">
        <v>32.020000000000003</v>
      </c>
      <c r="V22" s="301">
        <v>32.42</v>
      </c>
    </row>
    <row r="23" spans="1:22" x14ac:dyDescent="0.25">
      <c r="F23" t="s">
        <v>5</v>
      </c>
      <c r="G23" s="302">
        <f t="shared" si="1"/>
        <v>14.62</v>
      </c>
      <c r="H23" s="302">
        <f t="shared" si="1"/>
        <v>15.61</v>
      </c>
      <c r="K23" s="109">
        <f>+IF(INPUT!$C$29=INPUT!$C$190,'CCNL-appoggio'!A23,IF(INPUT!$C$29=INPUT!#REF!,'CCNL-appoggio'!F23,'CCNL-appoggio'!F23))</f>
        <v>0</v>
      </c>
      <c r="L23" s="110">
        <f>+IF(INPUT!$C$29=INPUT!$C$190,'CCNL-appoggio'!B23,IF(INPUT!$C$29="non attivo",'CCNL-appoggio'!G23,'CCNL-appoggio'!H23))</f>
        <v>0</v>
      </c>
      <c r="N23" t="s">
        <v>3</v>
      </c>
      <c r="O23" s="301">
        <v>15.25</v>
      </c>
      <c r="P23" s="301">
        <v>16.28</v>
      </c>
    </row>
    <row r="24" spans="1:22" x14ac:dyDescent="0.25">
      <c r="F24" t="s">
        <v>4</v>
      </c>
      <c r="G24" s="302">
        <f t="shared" si="1"/>
        <v>14.43</v>
      </c>
      <c r="H24" s="302">
        <f t="shared" si="1"/>
        <v>15.41</v>
      </c>
      <c r="K24" s="111">
        <f>+IF(INPUT!$C$29=INPUT!$C$190,'CCNL-appoggio'!A24,IF(INPUT!$C$29=INPUT!#REF!,'CCNL-appoggio'!F24,'CCNL-appoggio'!F24))</f>
        <v>0</v>
      </c>
      <c r="L24" s="112">
        <f>+IF(INPUT!$C$29=INPUT!$C$190,'CCNL-appoggio'!B24,IF(INPUT!$C$29="non attivo",'CCNL-appoggio'!G24,'CCNL-appoggio'!H24))</f>
        <v>0</v>
      </c>
      <c r="N24" t="s">
        <v>41</v>
      </c>
      <c r="O24" s="301">
        <v>15.51</v>
      </c>
      <c r="P24" s="301">
        <v>16.559999999999999</v>
      </c>
    </row>
    <row r="25" spans="1:22" x14ac:dyDescent="0.25">
      <c r="N25" t="s">
        <v>42</v>
      </c>
      <c r="O25" s="301">
        <v>15.2</v>
      </c>
      <c r="P25" s="301">
        <v>16.23</v>
      </c>
    </row>
    <row r="26" spans="1:22" x14ac:dyDescent="0.25">
      <c r="N26" t="s">
        <v>43</v>
      </c>
      <c r="O26" s="301">
        <v>14.93</v>
      </c>
      <c r="P26" s="301">
        <v>15.94</v>
      </c>
    </row>
    <row r="27" spans="1:22" x14ac:dyDescent="0.25">
      <c r="N27" t="s">
        <v>5</v>
      </c>
      <c r="O27" s="301">
        <v>14.62</v>
      </c>
      <c r="P27" s="301">
        <v>15.61</v>
      </c>
    </row>
    <row r="28" spans="1:22" x14ac:dyDescent="0.25">
      <c r="N28" t="s">
        <v>4</v>
      </c>
      <c r="O28" s="301">
        <v>14.43</v>
      </c>
      <c r="P28" s="301">
        <v>15.41</v>
      </c>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5"/>
  <dimension ref="A1:S66"/>
  <sheetViews>
    <sheetView zoomScaleNormal="100" workbookViewId="0">
      <pane ySplit="9" topLeftCell="A22" activePane="bottomLeft" state="frozen"/>
      <selection activeCell="N3" sqref="N3"/>
      <selection pane="bottomLeft" activeCell="N3" sqref="N3"/>
    </sheetView>
  </sheetViews>
  <sheetFormatPr defaultRowHeight="15" x14ac:dyDescent="0.25"/>
  <cols>
    <col min="1" max="1" width="37.42578125" bestFit="1" customWidth="1"/>
    <col min="2" max="2" width="9.140625" style="1"/>
    <col min="9" max="9" width="13.28515625" bestFit="1" customWidth="1"/>
  </cols>
  <sheetData>
    <row r="1" spans="1:19" x14ac:dyDescent="0.25">
      <c r="A1" t="s">
        <v>47</v>
      </c>
      <c r="B1" s="2" t="s">
        <v>73</v>
      </c>
    </row>
    <row r="2" spans="1:19" x14ac:dyDescent="0.25">
      <c r="A2" t="s">
        <v>48</v>
      </c>
      <c r="B2" s="2" t="str">
        <f>+INPUT!C2</f>
        <v>Sicilia</v>
      </c>
    </row>
    <row r="3" spans="1:19" x14ac:dyDescent="0.25">
      <c r="A3" t="s">
        <v>50</v>
      </c>
      <c r="B3" s="3">
        <f>+IF(B1="Generale",0.039,INDEX(C47:C50,MATCH(B2,B47:B50,0)))</f>
        <v>0</v>
      </c>
    </row>
    <row r="4" spans="1:19" x14ac:dyDescent="0.25">
      <c r="B4" s="3"/>
    </row>
    <row r="5" spans="1:19" x14ac:dyDescent="0.25">
      <c r="A5" t="s">
        <v>51</v>
      </c>
      <c r="B5" s="4" t="s">
        <v>77</v>
      </c>
    </row>
    <row r="6" spans="1:19" x14ac:dyDescent="0.25">
      <c r="A6" t="s">
        <v>128</v>
      </c>
      <c r="B6">
        <v>1548</v>
      </c>
      <c r="C6">
        <v>1548</v>
      </c>
    </row>
    <row r="7" spans="1:19" x14ac:dyDescent="0.25">
      <c r="B7"/>
    </row>
    <row r="8" spans="1:19" ht="15.75" thickBot="1" x14ac:dyDescent="0.3"/>
    <row r="9" spans="1:19" s="10" customFormat="1" x14ac:dyDescent="0.25">
      <c r="A9" s="5" t="s">
        <v>53</v>
      </c>
      <c r="B9" s="6" t="s">
        <v>4</v>
      </c>
      <c r="C9" s="7" t="s">
        <v>5</v>
      </c>
      <c r="D9" s="8" t="s">
        <v>3</v>
      </c>
      <c r="E9" s="7" t="s">
        <v>6</v>
      </c>
      <c r="F9" s="8" t="s">
        <v>2</v>
      </c>
      <c r="G9" s="8" t="s">
        <v>1</v>
      </c>
      <c r="H9" s="8" t="s">
        <v>7</v>
      </c>
      <c r="I9" s="7" t="s">
        <v>8</v>
      </c>
      <c r="J9" s="8" t="s">
        <v>0</v>
      </c>
      <c r="K9" s="7" t="s">
        <v>9</v>
      </c>
      <c r="L9" s="8" t="s">
        <v>10</v>
      </c>
      <c r="M9" s="8" t="s">
        <v>11</v>
      </c>
      <c r="N9" s="7" t="s">
        <v>12</v>
      </c>
      <c r="O9" s="8" t="s">
        <v>13</v>
      </c>
      <c r="P9" s="7" t="s">
        <v>14</v>
      </c>
      <c r="Q9" s="8" t="s">
        <v>15</v>
      </c>
      <c r="R9" s="9" t="s">
        <v>16</v>
      </c>
    </row>
    <row r="10" spans="1:19" x14ac:dyDescent="0.25">
      <c r="A10" s="11" t="s">
        <v>54</v>
      </c>
      <c r="B10" s="12">
        <v>1184.19</v>
      </c>
      <c r="C10" s="13">
        <v>1195.1300000000001</v>
      </c>
      <c r="D10" s="12">
        <v>1250.81</v>
      </c>
      <c r="E10" s="13">
        <v>1250.81</v>
      </c>
      <c r="F10" s="12">
        <v>1345.21</v>
      </c>
      <c r="G10" s="12">
        <v>1385.5</v>
      </c>
      <c r="H10" s="12">
        <v>1426.41</v>
      </c>
      <c r="I10" s="13">
        <v>1426.41</v>
      </c>
      <c r="J10" s="12">
        <v>1504.67</v>
      </c>
      <c r="K10" s="13">
        <v>1504.67</v>
      </c>
      <c r="L10" s="12">
        <v>1601.8</v>
      </c>
      <c r="M10" s="12">
        <v>1728.9</v>
      </c>
      <c r="N10" s="13">
        <v>1728.9</v>
      </c>
      <c r="O10" s="12">
        <v>1909.51</v>
      </c>
      <c r="P10" s="13">
        <v>1909.51</v>
      </c>
      <c r="Q10" s="12">
        <v>2180.73</v>
      </c>
      <c r="R10" s="14">
        <v>2180.73</v>
      </c>
      <c r="S10" s="1"/>
    </row>
    <row r="11" spans="1:19" x14ac:dyDescent="0.25">
      <c r="A11" s="11" t="s">
        <v>55</v>
      </c>
      <c r="B11" s="15">
        <v>34.86</v>
      </c>
      <c r="C11" s="16">
        <v>40.29</v>
      </c>
      <c r="D11" s="17">
        <v>48.81</v>
      </c>
      <c r="E11" s="16">
        <v>48.81</v>
      </c>
      <c r="F11" s="17">
        <v>55.77</v>
      </c>
      <c r="G11" s="17">
        <v>58.89</v>
      </c>
      <c r="H11" s="17">
        <v>61.98</v>
      </c>
      <c r="I11" s="16">
        <v>61.98</v>
      </c>
      <c r="J11" s="17">
        <v>69.72</v>
      </c>
      <c r="K11" s="16">
        <v>69.72</v>
      </c>
      <c r="L11" s="17">
        <v>80.58</v>
      </c>
      <c r="M11" s="17">
        <v>94.5</v>
      </c>
      <c r="N11" s="16">
        <v>94.5</v>
      </c>
      <c r="O11" s="17">
        <v>118.53</v>
      </c>
      <c r="P11" s="16">
        <v>118.53</v>
      </c>
      <c r="Q11" s="17">
        <v>139.44</v>
      </c>
      <c r="R11" s="18">
        <v>139.44</v>
      </c>
      <c r="S11" s="1"/>
    </row>
    <row r="12" spans="1:19" x14ac:dyDescent="0.25">
      <c r="A12" s="11" t="s">
        <v>56</v>
      </c>
      <c r="B12" s="15"/>
      <c r="C12" s="13"/>
      <c r="D12" s="12"/>
      <c r="E12" s="13"/>
      <c r="F12" s="12"/>
      <c r="G12" s="12"/>
      <c r="H12" s="12"/>
      <c r="I12" s="16">
        <v>61.97</v>
      </c>
      <c r="J12" s="12"/>
      <c r="K12" s="16">
        <v>154.94</v>
      </c>
      <c r="L12" s="12"/>
      <c r="M12" s="12"/>
      <c r="N12" s="16">
        <v>258.23</v>
      </c>
      <c r="O12" s="12"/>
      <c r="P12" s="16">
        <v>258.23</v>
      </c>
      <c r="Q12" s="12"/>
      <c r="R12" s="18">
        <v>232.41</v>
      </c>
      <c r="S12" s="1"/>
    </row>
    <row r="13" spans="1:19" x14ac:dyDescent="0.25">
      <c r="A13" s="11" t="s">
        <v>57</v>
      </c>
      <c r="B13" s="15"/>
      <c r="C13" s="13"/>
      <c r="D13" s="12"/>
      <c r="E13" s="16">
        <v>46.48</v>
      </c>
      <c r="F13" s="12"/>
      <c r="G13" s="12"/>
      <c r="H13" s="12"/>
      <c r="I13" s="13"/>
      <c r="J13" s="12"/>
      <c r="K13" s="13"/>
      <c r="L13" s="12"/>
      <c r="M13" s="17">
        <v>77.47</v>
      </c>
      <c r="N13" s="13"/>
      <c r="O13" s="17">
        <v>154.94</v>
      </c>
      <c r="P13" s="13"/>
      <c r="Q13" s="17">
        <v>232.41</v>
      </c>
      <c r="R13" s="14"/>
      <c r="S13" s="1"/>
    </row>
    <row r="14" spans="1:19" x14ac:dyDescent="0.25">
      <c r="A14" s="11" t="s">
        <v>58</v>
      </c>
      <c r="B14" s="15">
        <v>30.2</v>
      </c>
      <c r="C14" s="16">
        <v>30.48</v>
      </c>
      <c r="D14" s="17">
        <v>31.9</v>
      </c>
      <c r="E14" s="16">
        <v>31.9</v>
      </c>
      <c r="F14" s="17">
        <v>34.299999999999997</v>
      </c>
      <c r="G14" s="17">
        <v>35.33</v>
      </c>
      <c r="H14" s="17">
        <v>36.369999999999997</v>
      </c>
      <c r="I14" s="16">
        <v>36.369999999999997</v>
      </c>
      <c r="J14" s="17">
        <v>38.369999999999997</v>
      </c>
      <c r="K14" s="16">
        <v>38.369999999999997</v>
      </c>
      <c r="L14" s="17">
        <v>40.85</v>
      </c>
      <c r="M14" s="17">
        <v>44.09</v>
      </c>
      <c r="N14" s="16">
        <v>44.09</v>
      </c>
      <c r="O14" s="17">
        <v>48.69</v>
      </c>
      <c r="P14" s="16">
        <v>48.69</v>
      </c>
      <c r="Q14" s="17">
        <v>55.61</v>
      </c>
      <c r="R14" s="18">
        <v>55.61</v>
      </c>
      <c r="S14" s="1"/>
    </row>
    <row r="15" spans="1:19" x14ac:dyDescent="0.25">
      <c r="B15" s="19"/>
      <c r="C15" s="20"/>
      <c r="D15" s="21"/>
      <c r="F15" s="21"/>
      <c r="G15" s="21"/>
      <c r="H15" s="21"/>
      <c r="J15" s="21"/>
      <c r="L15" s="21"/>
      <c r="M15" s="21"/>
      <c r="O15" s="21"/>
      <c r="Q15" s="21"/>
    </row>
    <row r="16" spans="1:19" x14ac:dyDescent="0.25">
      <c r="A16" s="11" t="s">
        <v>59</v>
      </c>
      <c r="B16" s="12">
        <f>+SUM(B10:B14)</f>
        <v>1249.25</v>
      </c>
      <c r="C16" s="13">
        <f t="shared" ref="C16:R16" si="0">+SUM(C10:C14)</f>
        <v>1265.9000000000001</v>
      </c>
      <c r="D16" s="12">
        <f t="shared" si="0"/>
        <v>1331.52</v>
      </c>
      <c r="E16" s="13">
        <f t="shared" si="0"/>
        <v>1378</v>
      </c>
      <c r="F16" s="12">
        <f t="shared" si="0"/>
        <v>1435.28</v>
      </c>
      <c r="G16" s="12">
        <f t="shared" si="0"/>
        <v>1479.72</v>
      </c>
      <c r="H16" s="12">
        <f t="shared" si="0"/>
        <v>1524.76</v>
      </c>
      <c r="I16" s="13">
        <f t="shared" si="0"/>
        <v>1586.73</v>
      </c>
      <c r="J16" s="12">
        <f t="shared" si="0"/>
        <v>1612.76</v>
      </c>
      <c r="K16" s="13">
        <f t="shared" si="0"/>
        <v>1767.7</v>
      </c>
      <c r="L16" s="12">
        <f t="shared" si="0"/>
        <v>1723.2299999999998</v>
      </c>
      <c r="M16" s="12">
        <f t="shared" si="0"/>
        <v>1944.96</v>
      </c>
      <c r="N16" s="13">
        <f t="shared" si="0"/>
        <v>2125.7200000000003</v>
      </c>
      <c r="O16" s="12">
        <f t="shared" si="0"/>
        <v>2231.67</v>
      </c>
      <c r="P16" s="13">
        <f t="shared" si="0"/>
        <v>2334.96</v>
      </c>
      <c r="Q16" s="12">
        <f t="shared" si="0"/>
        <v>2608.19</v>
      </c>
      <c r="R16" s="14">
        <f t="shared" si="0"/>
        <v>2608.19</v>
      </c>
    </row>
    <row r="17" spans="1:18" x14ac:dyDescent="0.25">
      <c r="A17" s="11" t="s">
        <v>60</v>
      </c>
      <c r="B17" s="12">
        <f>+B16*13</f>
        <v>16240.25</v>
      </c>
      <c r="C17" s="13">
        <f t="shared" ref="C17:R17" si="1">+C16*13</f>
        <v>16456.7</v>
      </c>
      <c r="D17" s="12">
        <f t="shared" si="1"/>
        <v>17309.759999999998</v>
      </c>
      <c r="E17" s="13">
        <f t="shared" si="1"/>
        <v>17914</v>
      </c>
      <c r="F17" s="12">
        <f t="shared" si="1"/>
        <v>18658.64</v>
      </c>
      <c r="G17" s="12">
        <f t="shared" si="1"/>
        <v>19236.36</v>
      </c>
      <c r="H17" s="12">
        <f t="shared" si="1"/>
        <v>19821.88</v>
      </c>
      <c r="I17" s="13">
        <f t="shared" si="1"/>
        <v>20627.490000000002</v>
      </c>
      <c r="J17" s="12">
        <f t="shared" si="1"/>
        <v>20965.88</v>
      </c>
      <c r="K17" s="13">
        <f t="shared" si="1"/>
        <v>22980.100000000002</v>
      </c>
      <c r="L17" s="12">
        <f t="shared" si="1"/>
        <v>22401.989999999998</v>
      </c>
      <c r="M17" s="12">
        <f t="shared" si="1"/>
        <v>25284.48</v>
      </c>
      <c r="N17" s="13">
        <f t="shared" si="1"/>
        <v>27634.360000000004</v>
      </c>
      <c r="O17" s="12">
        <f t="shared" si="1"/>
        <v>29011.71</v>
      </c>
      <c r="P17" s="13">
        <f t="shared" si="1"/>
        <v>30354.48</v>
      </c>
      <c r="Q17" s="12">
        <f t="shared" si="1"/>
        <v>33906.47</v>
      </c>
      <c r="R17" s="14">
        <f t="shared" si="1"/>
        <v>33906.47</v>
      </c>
    </row>
    <row r="18" spans="1:18" x14ac:dyDescent="0.25">
      <c r="B18" s="22"/>
      <c r="D18" s="21"/>
      <c r="F18" s="21"/>
      <c r="G18" s="21"/>
      <c r="H18" s="21"/>
      <c r="J18" s="21"/>
      <c r="L18" s="21"/>
      <c r="M18" s="21"/>
      <c r="O18" s="21"/>
      <c r="Q18" s="21"/>
    </row>
    <row r="19" spans="1:18" x14ac:dyDescent="0.25">
      <c r="A19" s="11" t="s">
        <v>61</v>
      </c>
      <c r="B19" s="12"/>
      <c r="C19" s="23"/>
      <c r="D19" s="24"/>
      <c r="E19" s="23"/>
      <c r="F19" s="24"/>
      <c r="G19" s="24"/>
      <c r="H19" s="24"/>
      <c r="I19" s="23"/>
      <c r="J19" s="24"/>
      <c r="K19" s="23"/>
      <c r="L19" s="24"/>
      <c r="M19" s="24"/>
      <c r="N19" s="23"/>
      <c r="O19" s="24"/>
      <c r="P19" s="23"/>
      <c r="Q19" s="24"/>
      <c r="R19" s="25"/>
    </row>
    <row r="20" spans="1:18" x14ac:dyDescent="0.25">
      <c r="A20" s="11" t="s">
        <v>62</v>
      </c>
      <c r="B20" s="15">
        <f>+B17*0.269</f>
        <v>4368.6272500000005</v>
      </c>
      <c r="C20" s="26">
        <f t="shared" ref="C20:R20" si="2">+C17*0.269</f>
        <v>4426.8523000000005</v>
      </c>
      <c r="D20" s="15">
        <f t="shared" si="2"/>
        <v>4656.3254399999996</v>
      </c>
      <c r="E20" s="26">
        <f t="shared" si="2"/>
        <v>4818.866</v>
      </c>
      <c r="F20" s="15">
        <f t="shared" si="2"/>
        <v>5019.1741600000005</v>
      </c>
      <c r="G20" s="15">
        <f t="shared" si="2"/>
        <v>5174.5808400000005</v>
      </c>
      <c r="H20" s="15">
        <f t="shared" si="2"/>
        <v>5332.0857200000009</v>
      </c>
      <c r="I20" s="26">
        <f t="shared" si="2"/>
        <v>5548.7948100000003</v>
      </c>
      <c r="J20" s="15">
        <f t="shared" si="2"/>
        <v>5639.8217200000008</v>
      </c>
      <c r="K20" s="26">
        <f t="shared" si="2"/>
        <v>6181.6469000000006</v>
      </c>
      <c r="L20" s="15">
        <f t="shared" si="2"/>
        <v>6026.1353099999997</v>
      </c>
      <c r="M20" s="15">
        <f t="shared" si="2"/>
        <v>6801.5251200000002</v>
      </c>
      <c r="N20" s="26">
        <f t="shared" si="2"/>
        <v>7433.6428400000013</v>
      </c>
      <c r="O20" s="15">
        <f t="shared" si="2"/>
        <v>7804.1499899999999</v>
      </c>
      <c r="P20" s="26">
        <f t="shared" si="2"/>
        <v>8165.3551200000002</v>
      </c>
      <c r="Q20" s="15">
        <f t="shared" si="2"/>
        <v>9120.8404300000002</v>
      </c>
      <c r="R20" s="27">
        <f t="shared" si="2"/>
        <v>9120.8404300000002</v>
      </c>
    </row>
    <row r="21" spans="1:18" x14ac:dyDescent="0.25">
      <c r="A21" s="11" t="s">
        <v>63</v>
      </c>
      <c r="B21" s="15">
        <f>+B17*0.03</f>
        <v>487.20749999999998</v>
      </c>
      <c r="C21" s="26">
        <f t="shared" ref="C21:R21" si="3">+C17*0.03</f>
        <v>493.70100000000002</v>
      </c>
      <c r="D21" s="15">
        <f t="shared" si="3"/>
        <v>519.29279999999994</v>
      </c>
      <c r="E21" s="26">
        <f t="shared" si="3"/>
        <v>537.41999999999996</v>
      </c>
      <c r="F21" s="15">
        <f t="shared" si="3"/>
        <v>559.75919999999996</v>
      </c>
      <c r="G21" s="15">
        <f t="shared" si="3"/>
        <v>577.09079999999994</v>
      </c>
      <c r="H21" s="15">
        <f t="shared" si="3"/>
        <v>594.65639999999996</v>
      </c>
      <c r="I21" s="26">
        <f t="shared" si="3"/>
        <v>618.82470000000001</v>
      </c>
      <c r="J21" s="15">
        <f t="shared" si="3"/>
        <v>628.97640000000001</v>
      </c>
      <c r="K21" s="26">
        <f t="shared" si="3"/>
        <v>689.40300000000002</v>
      </c>
      <c r="L21" s="15">
        <f t="shared" si="3"/>
        <v>672.05969999999991</v>
      </c>
      <c r="M21" s="15">
        <f t="shared" si="3"/>
        <v>758.53440000000001</v>
      </c>
      <c r="N21" s="26">
        <f t="shared" si="3"/>
        <v>829.03080000000011</v>
      </c>
      <c r="O21" s="15">
        <f t="shared" si="3"/>
        <v>870.35129999999992</v>
      </c>
      <c r="P21" s="26">
        <f t="shared" si="3"/>
        <v>910.63439999999991</v>
      </c>
      <c r="Q21" s="15">
        <f t="shared" si="3"/>
        <v>1017.1941</v>
      </c>
      <c r="R21" s="27">
        <f t="shared" si="3"/>
        <v>1017.1941</v>
      </c>
    </row>
    <row r="22" spans="1:18" x14ac:dyDescent="0.25">
      <c r="A22" s="11" t="s">
        <v>64</v>
      </c>
      <c r="B22" s="12">
        <f>+B21+B20</f>
        <v>4855.83475</v>
      </c>
      <c r="C22" s="13">
        <f t="shared" ref="C22:R22" si="4">+C21+C20</f>
        <v>4920.5533000000005</v>
      </c>
      <c r="D22" s="12">
        <f t="shared" si="4"/>
        <v>5175.6182399999998</v>
      </c>
      <c r="E22" s="13">
        <f t="shared" si="4"/>
        <v>5356.2860000000001</v>
      </c>
      <c r="F22" s="12">
        <f t="shared" si="4"/>
        <v>5578.9333600000009</v>
      </c>
      <c r="G22" s="12">
        <f t="shared" si="4"/>
        <v>5751.6716400000005</v>
      </c>
      <c r="H22" s="12">
        <f t="shared" si="4"/>
        <v>5926.7421200000008</v>
      </c>
      <c r="I22" s="13">
        <f t="shared" si="4"/>
        <v>6167.6195100000004</v>
      </c>
      <c r="J22" s="12">
        <f t="shared" si="4"/>
        <v>6268.7981200000013</v>
      </c>
      <c r="K22" s="13">
        <f t="shared" si="4"/>
        <v>6871.0499000000009</v>
      </c>
      <c r="L22" s="12">
        <f t="shared" si="4"/>
        <v>6698.1950099999995</v>
      </c>
      <c r="M22" s="12">
        <f t="shared" si="4"/>
        <v>7560.0595200000007</v>
      </c>
      <c r="N22" s="13">
        <f t="shared" si="4"/>
        <v>8262.6736400000009</v>
      </c>
      <c r="O22" s="12">
        <f t="shared" si="4"/>
        <v>8674.5012900000002</v>
      </c>
      <c r="P22" s="13">
        <f t="shared" si="4"/>
        <v>9075.9895199999992</v>
      </c>
      <c r="Q22" s="12">
        <f t="shared" si="4"/>
        <v>10138.034530000001</v>
      </c>
      <c r="R22" s="14">
        <f t="shared" si="4"/>
        <v>10138.034530000001</v>
      </c>
    </row>
    <row r="23" spans="1:18" x14ac:dyDescent="0.25">
      <c r="B23" s="22"/>
      <c r="D23" s="21"/>
      <c r="F23" s="21"/>
      <c r="G23" s="21"/>
      <c r="H23" s="21"/>
      <c r="J23" s="21"/>
      <c r="L23" s="21"/>
      <c r="M23" s="21"/>
      <c r="O23" s="21"/>
      <c r="Q23" s="21"/>
    </row>
    <row r="24" spans="1:18" x14ac:dyDescent="0.25">
      <c r="A24" s="11" t="s">
        <v>65</v>
      </c>
      <c r="B24" s="12">
        <f>+B16*0.962962</f>
        <v>1202.9802784999999</v>
      </c>
      <c r="C24" s="13">
        <f t="shared" ref="C24:R24" si="5">+C16*0.962962</f>
        <v>1219.0135958000001</v>
      </c>
      <c r="D24" s="12">
        <f t="shared" si="5"/>
        <v>1282.20316224</v>
      </c>
      <c r="E24" s="13">
        <f t="shared" si="5"/>
        <v>1326.961636</v>
      </c>
      <c r="F24" s="12">
        <f t="shared" si="5"/>
        <v>1382.12009936</v>
      </c>
      <c r="G24" s="12">
        <f t="shared" si="5"/>
        <v>1424.9141306399999</v>
      </c>
      <c r="H24" s="12">
        <f t="shared" si="5"/>
        <v>1468.28593912</v>
      </c>
      <c r="I24" s="13">
        <f t="shared" si="5"/>
        <v>1527.9606942600001</v>
      </c>
      <c r="J24" s="12">
        <f t="shared" si="5"/>
        <v>1553.0265951199999</v>
      </c>
      <c r="K24" s="13">
        <f t="shared" si="5"/>
        <v>1702.2279274</v>
      </c>
      <c r="L24" s="12">
        <f t="shared" si="5"/>
        <v>1659.4050072599998</v>
      </c>
      <c r="M24" s="12">
        <f t="shared" si="5"/>
        <v>1872.92257152</v>
      </c>
      <c r="N24" s="13">
        <f t="shared" si="5"/>
        <v>2046.9875826400003</v>
      </c>
      <c r="O24" s="12">
        <f t="shared" si="5"/>
        <v>2149.0134065400002</v>
      </c>
      <c r="P24" s="13">
        <f t="shared" si="5"/>
        <v>2248.4777515199999</v>
      </c>
      <c r="Q24" s="12">
        <f t="shared" si="5"/>
        <v>2511.5878587799998</v>
      </c>
      <c r="R24" s="14">
        <f t="shared" si="5"/>
        <v>2511.5878587799998</v>
      </c>
    </row>
    <row r="25" spans="1:18" x14ac:dyDescent="0.25">
      <c r="A25" s="11" t="s">
        <v>66</v>
      </c>
      <c r="B25" s="15">
        <f>+B24*0.198175</f>
        <v>238.40061669173747</v>
      </c>
      <c r="C25" s="26">
        <f t="shared" ref="C25:R25" si="6">+C24*0.198175</f>
        <v>241.57801934766499</v>
      </c>
      <c r="D25" s="15">
        <f t="shared" si="6"/>
        <v>254.100611676912</v>
      </c>
      <c r="E25" s="26">
        <f t="shared" si="6"/>
        <v>262.97062221429996</v>
      </c>
      <c r="F25" s="15">
        <f t="shared" si="6"/>
        <v>273.90165069066802</v>
      </c>
      <c r="G25" s="15">
        <f t="shared" si="6"/>
        <v>282.38235783958197</v>
      </c>
      <c r="H25" s="15">
        <f t="shared" si="6"/>
        <v>290.97756598510597</v>
      </c>
      <c r="I25" s="26">
        <f t="shared" si="6"/>
        <v>302.8036105849755</v>
      </c>
      <c r="J25" s="15">
        <f t="shared" si="6"/>
        <v>307.77104548790595</v>
      </c>
      <c r="K25" s="26">
        <f t="shared" si="6"/>
        <v>337.33901951249499</v>
      </c>
      <c r="L25" s="15">
        <f t="shared" si="6"/>
        <v>328.85258731375046</v>
      </c>
      <c r="M25" s="15">
        <f t="shared" si="6"/>
        <v>371.16643061097597</v>
      </c>
      <c r="N25" s="26">
        <f t="shared" si="6"/>
        <v>405.661764189682</v>
      </c>
      <c r="O25" s="15">
        <f t="shared" si="6"/>
        <v>425.88073184106452</v>
      </c>
      <c r="P25" s="26">
        <f t="shared" si="6"/>
        <v>445.59207840747592</v>
      </c>
      <c r="Q25" s="15">
        <f t="shared" si="6"/>
        <v>497.73392391372641</v>
      </c>
      <c r="R25" s="27">
        <f t="shared" si="6"/>
        <v>497.73392391372641</v>
      </c>
    </row>
    <row r="26" spans="1:18" x14ac:dyDescent="0.25">
      <c r="A26" s="11" t="s">
        <v>67</v>
      </c>
      <c r="B26" s="15">
        <f>+B17*0.01</f>
        <v>162.4025</v>
      </c>
      <c r="C26" s="26">
        <f t="shared" ref="C26:R26" si="7">+C17*0.01</f>
        <v>164.56700000000001</v>
      </c>
      <c r="D26" s="15">
        <f t="shared" si="7"/>
        <v>173.0976</v>
      </c>
      <c r="E26" s="26">
        <f t="shared" si="7"/>
        <v>179.14000000000001</v>
      </c>
      <c r="F26" s="15">
        <f t="shared" si="7"/>
        <v>186.5864</v>
      </c>
      <c r="G26" s="15">
        <f t="shared" si="7"/>
        <v>192.36360000000002</v>
      </c>
      <c r="H26" s="15">
        <f t="shared" si="7"/>
        <v>198.21880000000002</v>
      </c>
      <c r="I26" s="26">
        <f t="shared" si="7"/>
        <v>206.27490000000003</v>
      </c>
      <c r="J26" s="15">
        <f t="shared" si="7"/>
        <v>209.65880000000001</v>
      </c>
      <c r="K26" s="26">
        <f t="shared" si="7"/>
        <v>229.80100000000002</v>
      </c>
      <c r="L26" s="15">
        <f t="shared" si="7"/>
        <v>224.01989999999998</v>
      </c>
      <c r="M26" s="15">
        <f t="shared" si="7"/>
        <v>252.84479999999999</v>
      </c>
      <c r="N26" s="26">
        <f t="shared" si="7"/>
        <v>276.34360000000004</v>
      </c>
      <c r="O26" s="15">
        <f t="shared" si="7"/>
        <v>290.11709999999999</v>
      </c>
      <c r="P26" s="26">
        <f t="shared" si="7"/>
        <v>303.54480000000001</v>
      </c>
      <c r="Q26" s="15">
        <f t="shared" si="7"/>
        <v>339.06470000000002</v>
      </c>
      <c r="R26" s="27">
        <f t="shared" si="7"/>
        <v>339.06470000000002</v>
      </c>
    </row>
    <row r="27" spans="1:18" x14ac:dyDescent="0.25">
      <c r="A27" s="11" t="s">
        <v>68</v>
      </c>
      <c r="B27" s="28">
        <v>60</v>
      </c>
      <c r="C27" s="29">
        <v>60</v>
      </c>
      <c r="D27" s="28">
        <v>60</v>
      </c>
      <c r="E27" s="29">
        <v>60</v>
      </c>
      <c r="F27" s="28">
        <v>60</v>
      </c>
      <c r="G27" s="28">
        <v>60</v>
      </c>
      <c r="H27" s="28">
        <v>60</v>
      </c>
      <c r="I27" s="29">
        <v>60</v>
      </c>
      <c r="J27" s="28">
        <v>60</v>
      </c>
      <c r="K27" s="29">
        <v>60</v>
      </c>
      <c r="L27" s="28">
        <v>60</v>
      </c>
      <c r="M27" s="28">
        <v>60</v>
      </c>
      <c r="N27" s="29">
        <v>60</v>
      </c>
      <c r="O27" s="28">
        <v>60</v>
      </c>
      <c r="P27" s="29">
        <v>60</v>
      </c>
      <c r="Q27" s="28">
        <v>60</v>
      </c>
      <c r="R27" s="30">
        <v>60</v>
      </c>
    </row>
    <row r="28" spans="1:18" x14ac:dyDescent="0.25">
      <c r="B28" s="22"/>
      <c r="D28" s="21"/>
      <c r="F28" s="21"/>
      <c r="G28" s="21"/>
      <c r="H28" s="21"/>
      <c r="J28" s="21"/>
      <c r="L28" s="21"/>
      <c r="M28" s="21"/>
      <c r="O28" s="21"/>
      <c r="Q28" s="21"/>
    </row>
    <row r="29" spans="1:18" x14ac:dyDescent="0.25">
      <c r="A29" s="11" t="s">
        <v>69</v>
      </c>
      <c r="B29" s="12">
        <f>+B17+B22+B24+B25+B26+B27</f>
        <v>22759.86814519174</v>
      </c>
      <c r="C29" s="13">
        <f t="shared" ref="C29:R29" si="8">+C17+C22+C24+C25+C26+C27</f>
        <v>23062.411915147663</v>
      </c>
      <c r="D29" s="12">
        <f t="shared" si="8"/>
        <v>24254.779613916911</v>
      </c>
      <c r="E29" s="13">
        <f t="shared" si="8"/>
        <v>25099.358258214299</v>
      </c>
      <c r="F29" s="12">
        <f t="shared" si="8"/>
        <v>26140.181510050668</v>
      </c>
      <c r="G29" s="12">
        <f t="shared" si="8"/>
        <v>26947.691728479585</v>
      </c>
      <c r="H29" s="12">
        <f t="shared" si="8"/>
        <v>27766.104425105106</v>
      </c>
      <c r="I29" s="13">
        <f t="shared" si="8"/>
        <v>28892.148714844978</v>
      </c>
      <c r="J29" s="12">
        <f t="shared" si="8"/>
        <v>29365.134560607908</v>
      </c>
      <c r="K29" s="13">
        <f t="shared" si="8"/>
        <v>32180.517846912498</v>
      </c>
      <c r="L29" s="12">
        <f t="shared" si="8"/>
        <v>31372.462504573748</v>
      </c>
      <c r="M29" s="12">
        <f t="shared" si="8"/>
        <v>35401.473322130973</v>
      </c>
      <c r="N29" s="13">
        <f t="shared" si="8"/>
        <v>38686.026586829692</v>
      </c>
      <c r="O29" s="12">
        <f t="shared" si="8"/>
        <v>40611.222528381062</v>
      </c>
      <c r="P29" s="13">
        <f t="shared" si="8"/>
        <v>42488.084149927476</v>
      </c>
      <c r="Q29" s="12">
        <f t="shared" si="8"/>
        <v>47452.891012693734</v>
      </c>
      <c r="R29" s="14">
        <f t="shared" si="8"/>
        <v>47452.891012693734</v>
      </c>
    </row>
    <row r="30" spans="1:18" x14ac:dyDescent="0.25">
      <c r="A30" s="11" t="s">
        <v>51</v>
      </c>
      <c r="B30" s="12">
        <f>+IF($B$5="Si",B55,0)</f>
        <v>0</v>
      </c>
      <c r="C30" s="13">
        <f t="shared" ref="C30:R30" si="9">+IF($B$5="Si",C55,0)</f>
        <v>0</v>
      </c>
      <c r="D30" s="12">
        <f t="shared" si="9"/>
        <v>0</v>
      </c>
      <c r="E30" s="13">
        <f t="shared" si="9"/>
        <v>0</v>
      </c>
      <c r="F30" s="12">
        <f t="shared" si="9"/>
        <v>0</v>
      </c>
      <c r="G30" s="12">
        <f t="shared" si="9"/>
        <v>0</v>
      </c>
      <c r="H30" s="12">
        <f t="shared" si="9"/>
        <v>0</v>
      </c>
      <c r="I30" s="13">
        <f t="shared" si="9"/>
        <v>0</v>
      </c>
      <c r="J30" s="12">
        <f t="shared" si="9"/>
        <v>0</v>
      </c>
      <c r="K30" s="13">
        <f t="shared" si="9"/>
        <v>0</v>
      </c>
      <c r="L30" s="12">
        <f t="shared" si="9"/>
        <v>0</v>
      </c>
      <c r="M30" s="12">
        <f t="shared" si="9"/>
        <v>0</v>
      </c>
      <c r="N30" s="13">
        <f t="shared" si="9"/>
        <v>0</v>
      </c>
      <c r="O30" s="12">
        <f t="shared" si="9"/>
        <v>0</v>
      </c>
      <c r="P30" s="13">
        <f t="shared" si="9"/>
        <v>0</v>
      </c>
      <c r="Q30" s="12">
        <f t="shared" si="9"/>
        <v>0</v>
      </c>
      <c r="R30" s="14">
        <f t="shared" si="9"/>
        <v>0</v>
      </c>
    </row>
    <row r="31" spans="1:18" x14ac:dyDescent="0.25">
      <c r="B31" s="22"/>
      <c r="C31" s="1"/>
      <c r="D31" s="22"/>
      <c r="E31" s="1"/>
      <c r="F31" s="22"/>
      <c r="G31" s="22"/>
      <c r="H31" s="22"/>
      <c r="I31" s="1"/>
      <c r="J31" s="22"/>
      <c r="K31" s="1"/>
      <c r="L31" s="22"/>
      <c r="M31" s="22"/>
      <c r="N31" s="1"/>
      <c r="O31" s="22"/>
      <c r="P31" s="1"/>
      <c r="Q31" s="22"/>
      <c r="R31" s="1"/>
    </row>
    <row r="32" spans="1:18" x14ac:dyDescent="0.25">
      <c r="A32" s="11" t="s">
        <v>70</v>
      </c>
      <c r="B32" s="12">
        <f>+B30+B29</f>
        <v>22759.86814519174</v>
      </c>
      <c r="C32" s="13">
        <f t="shared" ref="C32:R32" si="10">+C30+C29</f>
        <v>23062.411915147663</v>
      </c>
      <c r="D32" s="12">
        <f t="shared" si="10"/>
        <v>24254.779613916911</v>
      </c>
      <c r="E32" s="13">
        <f t="shared" si="10"/>
        <v>25099.358258214299</v>
      </c>
      <c r="F32" s="12">
        <f t="shared" si="10"/>
        <v>26140.181510050668</v>
      </c>
      <c r="G32" s="12">
        <f t="shared" si="10"/>
        <v>26947.691728479585</v>
      </c>
      <c r="H32" s="12">
        <f t="shared" si="10"/>
        <v>27766.104425105106</v>
      </c>
      <c r="I32" s="13">
        <f t="shared" si="10"/>
        <v>28892.148714844978</v>
      </c>
      <c r="J32" s="12">
        <f t="shared" si="10"/>
        <v>29365.134560607908</v>
      </c>
      <c r="K32" s="13">
        <f t="shared" si="10"/>
        <v>32180.517846912498</v>
      </c>
      <c r="L32" s="12">
        <f t="shared" si="10"/>
        <v>31372.462504573748</v>
      </c>
      <c r="M32" s="12">
        <f t="shared" si="10"/>
        <v>35401.473322130973</v>
      </c>
      <c r="N32" s="13">
        <f t="shared" si="10"/>
        <v>38686.026586829692</v>
      </c>
      <c r="O32" s="12">
        <f t="shared" si="10"/>
        <v>40611.222528381062</v>
      </c>
      <c r="P32" s="13">
        <f t="shared" si="10"/>
        <v>42488.084149927476</v>
      </c>
      <c r="Q32" s="12">
        <f t="shared" si="10"/>
        <v>47452.891012693734</v>
      </c>
      <c r="R32" s="14">
        <f t="shared" si="10"/>
        <v>47452.891012693734</v>
      </c>
    </row>
    <row r="33" spans="1:18" x14ac:dyDescent="0.25">
      <c r="B33" s="22"/>
      <c r="C33" s="1"/>
      <c r="D33" s="22"/>
      <c r="E33" s="1"/>
      <c r="F33" s="22"/>
      <c r="G33" s="22"/>
      <c r="H33" s="22"/>
      <c r="I33" s="1"/>
      <c r="J33" s="22"/>
      <c r="K33" s="1"/>
      <c r="L33" s="22"/>
      <c r="M33" s="22"/>
      <c r="N33" s="1"/>
      <c r="O33" s="22"/>
      <c r="P33" s="1"/>
      <c r="Q33" s="22"/>
      <c r="R33" s="1"/>
    </row>
    <row r="34" spans="1:18" x14ac:dyDescent="0.25">
      <c r="A34" s="11" t="s">
        <v>20</v>
      </c>
      <c r="B34" s="12">
        <f>+ROUND(B32/$B$6,2)</f>
        <v>14.7</v>
      </c>
      <c r="C34" s="13">
        <f t="shared" ref="C34:R34" si="11">+ROUND(C32/$B$6,2)</f>
        <v>14.9</v>
      </c>
      <c r="D34" s="12">
        <f t="shared" si="11"/>
        <v>15.67</v>
      </c>
      <c r="E34" s="13">
        <f t="shared" si="11"/>
        <v>16.21</v>
      </c>
      <c r="F34" s="12">
        <f t="shared" si="11"/>
        <v>16.89</v>
      </c>
      <c r="G34" s="12">
        <f t="shared" si="11"/>
        <v>17.41</v>
      </c>
      <c r="H34" s="12">
        <f t="shared" si="11"/>
        <v>17.940000000000001</v>
      </c>
      <c r="I34" s="13">
        <f t="shared" si="11"/>
        <v>18.66</v>
      </c>
      <c r="J34" s="12">
        <f t="shared" si="11"/>
        <v>18.97</v>
      </c>
      <c r="K34" s="13">
        <f t="shared" si="11"/>
        <v>20.79</v>
      </c>
      <c r="L34" s="12">
        <f t="shared" si="11"/>
        <v>20.27</v>
      </c>
      <c r="M34" s="12">
        <f t="shared" si="11"/>
        <v>22.87</v>
      </c>
      <c r="N34" s="13">
        <f t="shared" si="11"/>
        <v>24.99</v>
      </c>
      <c r="O34" s="12">
        <f t="shared" si="11"/>
        <v>26.23</v>
      </c>
      <c r="P34" s="13">
        <f t="shared" si="11"/>
        <v>27.45</v>
      </c>
      <c r="Q34" s="12">
        <f t="shared" si="11"/>
        <v>30.65</v>
      </c>
      <c r="R34" s="14">
        <f t="shared" si="11"/>
        <v>30.65</v>
      </c>
    </row>
    <row r="35" spans="1:18" x14ac:dyDescent="0.25">
      <c r="A35" s="11" t="s">
        <v>120</v>
      </c>
      <c r="B35" s="12">
        <f>+B32-B21-B26</f>
        <v>22110.258145191739</v>
      </c>
      <c r="C35" s="13">
        <f t="shared" ref="C35:R35" si="12">+C32-C21-C26</f>
        <v>22404.143915147662</v>
      </c>
      <c r="D35" s="12">
        <f t="shared" si="12"/>
        <v>23562.389213916911</v>
      </c>
      <c r="E35" s="13">
        <f t="shared" si="12"/>
        <v>24382.798258214301</v>
      </c>
      <c r="F35" s="12">
        <f t="shared" si="12"/>
        <v>25393.835910050668</v>
      </c>
      <c r="G35" s="12">
        <f t="shared" si="12"/>
        <v>26178.237328479587</v>
      </c>
      <c r="H35" s="12">
        <f t="shared" si="12"/>
        <v>26973.229225105108</v>
      </c>
      <c r="I35" s="13">
        <f t="shared" si="12"/>
        <v>28067.049114844976</v>
      </c>
      <c r="J35" s="12">
        <f t="shared" si="12"/>
        <v>28526.499360607908</v>
      </c>
      <c r="K35" s="13">
        <f t="shared" si="12"/>
        <v>31261.313846912501</v>
      </c>
      <c r="L35" s="12">
        <f t="shared" si="12"/>
        <v>30476.382904573748</v>
      </c>
      <c r="M35" s="12">
        <f t="shared" si="12"/>
        <v>34390.094122130977</v>
      </c>
      <c r="N35" s="13">
        <f t="shared" si="12"/>
        <v>37580.652186829691</v>
      </c>
      <c r="O35" s="12">
        <f t="shared" si="12"/>
        <v>39450.754128381057</v>
      </c>
      <c r="P35" s="13">
        <f t="shared" si="12"/>
        <v>41273.90494992747</v>
      </c>
      <c r="Q35" s="12">
        <f t="shared" si="12"/>
        <v>46096.63221269373</v>
      </c>
      <c r="R35" s="14">
        <f t="shared" si="12"/>
        <v>46096.63221269373</v>
      </c>
    </row>
    <row r="36" spans="1:18" x14ac:dyDescent="0.25">
      <c r="A36" s="11" t="s">
        <v>121</v>
      </c>
      <c r="B36" s="12">
        <f>+ROUND(B35/$B$6,2)</f>
        <v>14.28</v>
      </c>
      <c r="C36" s="13">
        <f t="shared" ref="C36:R36" si="13">+ROUND(C35/$B$6,2)</f>
        <v>14.47</v>
      </c>
      <c r="D36" s="12">
        <f t="shared" si="13"/>
        <v>15.22</v>
      </c>
      <c r="E36" s="13">
        <f t="shared" si="13"/>
        <v>15.75</v>
      </c>
      <c r="F36" s="12">
        <f t="shared" si="13"/>
        <v>16.399999999999999</v>
      </c>
      <c r="G36" s="12">
        <f t="shared" si="13"/>
        <v>16.91</v>
      </c>
      <c r="H36" s="12">
        <f t="shared" si="13"/>
        <v>17.420000000000002</v>
      </c>
      <c r="I36" s="13">
        <f t="shared" si="13"/>
        <v>18.13</v>
      </c>
      <c r="J36" s="12">
        <f t="shared" si="13"/>
        <v>18.43</v>
      </c>
      <c r="K36" s="13">
        <f t="shared" si="13"/>
        <v>20.190000000000001</v>
      </c>
      <c r="L36" s="12">
        <f t="shared" si="13"/>
        <v>19.690000000000001</v>
      </c>
      <c r="M36" s="12">
        <f t="shared" si="13"/>
        <v>22.22</v>
      </c>
      <c r="N36" s="13">
        <f t="shared" si="13"/>
        <v>24.28</v>
      </c>
      <c r="O36" s="12">
        <f t="shared" si="13"/>
        <v>25.48</v>
      </c>
      <c r="P36" s="13">
        <f t="shared" si="13"/>
        <v>26.66</v>
      </c>
      <c r="Q36" s="12">
        <f t="shared" si="13"/>
        <v>29.78</v>
      </c>
      <c r="R36" s="14">
        <f t="shared" si="13"/>
        <v>29.78</v>
      </c>
    </row>
    <row r="37" spans="1:18" x14ac:dyDescent="0.25">
      <c r="A37" s="11"/>
      <c r="B37" s="12">
        <f>+B36*0.039</f>
        <v>0.55691999999999997</v>
      </c>
      <c r="C37" s="13">
        <f t="shared" ref="C37:R37" si="14">+C36*0.039</f>
        <v>0.56433</v>
      </c>
      <c r="D37" s="12">
        <f t="shared" si="14"/>
        <v>0.59358</v>
      </c>
      <c r="E37" s="13">
        <f t="shared" si="14"/>
        <v>0.61424999999999996</v>
      </c>
      <c r="F37" s="12">
        <f t="shared" si="14"/>
        <v>0.63959999999999995</v>
      </c>
      <c r="G37" s="12">
        <f t="shared" si="14"/>
        <v>0.65949000000000002</v>
      </c>
      <c r="H37" s="12">
        <f t="shared" si="14"/>
        <v>0.67938000000000009</v>
      </c>
      <c r="I37" s="13">
        <f t="shared" si="14"/>
        <v>0.70706999999999998</v>
      </c>
      <c r="J37" s="12">
        <f t="shared" si="14"/>
        <v>0.71877000000000002</v>
      </c>
      <c r="K37" s="13">
        <f t="shared" si="14"/>
        <v>0.78741000000000005</v>
      </c>
      <c r="L37" s="12">
        <f t="shared" si="14"/>
        <v>0.76791000000000009</v>
      </c>
      <c r="M37" s="12">
        <f t="shared" si="14"/>
        <v>0.86657999999999991</v>
      </c>
      <c r="N37" s="13">
        <f t="shared" si="14"/>
        <v>0.94692000000000009</v>
      </c>
      <c r="O37" s="12">
        <f t="shared" si="14"/>
        <v>0.99372000000000005</v>
      </c>
      <c r="P37" s="13">
        <f t="shared" si="14"/>
        <v>1.0397400000000001</v>
      </c>
      <c r="Q37" s="12">
        <f t="shared" si="14"/>
        <v>1.1614200000000001</v>
      </c>
      <c r="R37" s="14">
        <f t="shared" si="14"/>
        <v>1.1614200000000001</v>
      </c>
    </row>
    <row r="38" spans="1:18" x14ac:dyDescent="0.25">
      <c r="A38" s="11" t="s">
        <v>71</v>
      </c>
      <c r="B38" s="12">
        <f>+ROUND(B36*$B$3,2)</f>
        <v>0</v>
      </c>
      <c r="C38" s="13">
        <f t="shared" ref="C38:R38" si="15">+ROUND(C36*$B$3,2)</f>
        <v>0</v>
      </c>
      <c r="D38" s="12">
        <f t="shared" si="15"/>
        <v>0</v>
      </c>
      <c r="E38" s="13">
        <f t="shared" si="15"/>
        <v>0</v>
      </c>
      <c r="F38" s="12">
        <f t="shared" si="15"/>
        <v>0</v>
      </c>
      <c r="G38" s="12">
        <f t="shared" si="15"/>
        <v>0</v>
      </c>
      <c r="H38" s="12">
        <f t="shared" si="15"/>
        <v>0</v>
      </c>
      <c r="I38" s="13">
        <f t="shared" si="15"/>
        <v>0</v>
      </c>
      <c r="J38" s="12">
        <f t="shared" si="15"/>
        <v>0</v>
      </c>
      <c r="K38" s="13">
        <f t="shared" si="15"/>
        <v>0</v>
      </c>
      <c r="L38" s="12">
        <f t="shared" si="15"/>
        <v>0</v>
      </c>
      <c r="M38" s="12">
        <f t="shared" si="15"/>
        <v>0</v>
      </c>
      <c r="N38" s="13">
        <f t="shared" si="15"/>
        <v>0</v>
      </c>
      <c r="O38" s="12">
        <f t="shared" si="15"/>
        <v>0</v>
      </c>
      <c r="P38" s="13">
        <f t="shared" si="15"/>
        <v>0</v>
      </c>
      <c r="Q38" s="12">
        <f t="shared" si="15"/>
        <v>0</v>
      </c>
      <c r="R38" s="14">
        <f t="shared" si="15"/>
        <v>0</v>
      </c>
    </row>
    <row r="39" spans="1:18" x14ac:dyDescent="0.25">
      <c r="A39" s="31" t="s">
        <v>72</v>
      </c>
      <c r="B39" s="32">
        <f>+B38+B34</f>
        <v>14.7</v>
      </c>
      <c r="C39" s="33">
        <f t="shared" ref="C39:R39" si="16">+C38+C34</f>
        <v>14.9</v>
      </c>
      <c r="D39" s="32">
        <f t="shared" si="16"/>
        <v>15.67</v>
      </c>
      <c r="E39" s="33">
        <f t="shared" si="16"/>
        <v>16.21</v>
      </c>
      <c r="F39" s="32">
        <f t="shared" si="16"/>
        <v>16.89</v>
      </c>
      <c r="G39" s="32">
        <f t="shared" si="16"/>
        <v>17.41</v>
      </c>
      <c r="H39" s="32">
        <f t="shared" si="16"/>
        <v>17.940000000000001</v>
      </c>
      <c r="I39" s="33">
        <f t="shared" si="16"/>
        <v>18.66</v>
      </c>
      <c r="J39" s="32">
        <f t="shared" si="16"/>
        <v>18.97</v>
      </c>
      <c r="K39" s="33">
        <f t="shared" si="16"/>
        <v>20.79</v>
      </c>
      <c r="L39" s="32">
        <f t="shared" si="16"/>
        <v>20.27</v>
      </c>
      <c r="M39" s="32">
        <f t="shared" si="16"/>
        <v>22.87</v>
      </c>
      <c r="N39" s="33">
        <f t="shared" si="16"/>
        <v>24.99</v>
      </c>
      <c r="O39" s="32">
        <f t="shared" si="16"/>
        <v>26.23</v>
      </c>
      <c r="P39" s="33">
        <f t="shared" si="16"/>
        <v>27.45</v>
      </c>
      <c r="Q39" s="32">
        <f t="shared" si="16"/>
        <v>30.65</v>
      </c>
      <c r="R39" s="33">
        <f t="shared" si="16"/>
        <v>30.65</v>
      </c>
    </row>
    <row r="40" spans="1:18" x14ac:dyDescent="0.25">
      <c r="C40" s="1"/>
      <c r="D40" s="1"/>
      <c r="E40" s="1"/>
      <c r="F40" s="1"/>
      <c r="G40" s="1"/>
      <c r="H40" s="1"/>
      <c r="I40" s="1"/>
      <c r="J40" s="1"/>
      <c r="K40" s="1"/>
      <c r="L40" s="1"/>
      <c r="M40" s="1"/>
      <c r="N40" s="1"/>
      <c r="O40" s="1"/>
      <c r="P40" s="1"/>
      <c r="Q40" s="1"/>
      <c r="R40" s="1"/>
    </row>
    <row r="41" spans="1:18" x14ac:dyDescent="0.25">
      <c r="C41" s="1"/>
      <c r="D41" s="1"/>
      <c r="E41" s="1"/>
      <c r="F41" s="1"/>
      <c r="G41" s="1"/>
      <c r="H41" s="1"/>
      <c r="I41" s="1"/>
      <c r="J41" s="1"/>
      <c r="K41" s="1"/>
      <c r="L41" s="1"/>
      <c r="M41" s="1"/>
      <c r="N41" s="1"/>
      <c r="O41" s="1"/>
      <c r="P41" s="1"/>
      <c r="Q41" s="1"/>
      <c r="R41" s="1"/>
    </row>
    <row r="42" spans="1:18" x14ac:dyDescent="0.25">
      <c r="B42" s="3"/>
      <c r="C42" s="3"/>
      <c r="D42" s="3"/>
      <c r="E42" s="3"/>
      <c r="F42" s="1"/>
      <c r="G42" s="3"/>
      <c r="H42" s="3"/>
      <c r="I42" s="3"/>
      <c r="J42" s="3"/>
      <c r="K42" s="3"/>
      <c r="L42" s="3"/>
      <c r="M42" s="3"/>
      <c r="N42" s="3"/>
      <c r="O42" s="3"/>
      <c r="P42" s="3"/>
      <c r="Q42" s="3"/>
      <c r="R42" s="3"/>
    </row>
    <row r="43" spans="1:18" hidden="1" x14ac:dyDescent="0.25">
      <c r="C43" s="1"/>
      <c r="D43" s="1"/>
      <c r="E43" s="1"/>
      <c r="F43" s="1"/>
      <c r="G43" s="1"/>
      <c r="H43" s="1"/>
      <c r="I43" s="1"/>
      <c r="J43" s="1"/>
      <c r="K43" s="1"/>
      <c r="L43" s="1"/>
      <c r="M43" s="1"/>
      <c r="N43" s="1"/>
      <c r="O43" s="1"/>
      <c r="P43" s="1"/>
      <c r="Q43" s="1"/>
      <c r="R43" s="1"/>
    </row>
    <row r="44" spans="1:18" s="89" customFormat="1" hidden="1" x14ac:dyDescent="0.25">
      <c r="B44" s="91" t="s">
        <v>73</v>
      </c>
    </row>
    <row r="45" spans="1:18" s="89" customFormat="1" hidden="1" x14ac:dyDescent="0.25">
      <c r="B45" s="91" t="s">
        <v>73</v>
      </c>
    </row>
    <row r="46" spans="1:18" s="89" customFormat="1" hidden="1" x14ac:dyDescent="0.25">
      <c r="B46" s="91"/>
    </row>
    <row r="47" spans="1:18" s="89" customFormat="1" hidden="1" x14ac:dyDescent="0.25">
      <c r="B47" s="91" t="s">
        <v>74</v>
      </c>
      <c r="C47" s="90">
        <f>4.97%</f>
        <v>4.9699999999999994E-2</v>
      </c>
    </row>
    <row r="48" spans="1:18" s="89" customFormat="1" hidden="1" x14ac:dyDescent="0.25">
      <c r="B48" s="91" t="s">
        <v>75</v>
      </c>
      <c r="C48" s="90">
        <f>4.4%</f>
        <v>4.4000000000000004E-2</v>
      </c>
    </row>
    <row r="49" spans="1:18" s="89" customFormat="1" hidden="1" x14ac:dyDescent="0.25">
      <c r="B49" s="91" t="s">
        <v>49</v>
      </c>
      <c r="C49" s="92">
        <v>0</v>
      </c>
    </row>
    <row r="50" spans="1:18" s="89" customFormat="1" hidden="1" x14ac:dyDescent="0.25">
      <c r="B50" s="91" t="s">
        <v>76</v>
      </c>
      <c r="C50" s="92">
        <v>0</v>
      </c>
    </row>
    <row r="51" spans="1:18" s="89" customFormat="1" hidden="1" x14ac:dyDescent="0.25">
      <c r="B51" s="91"/>
    </row>
    <row r="52" spans="1:18" s="89" customFormat="1" hidden="1" x14ac:dyDescent="0.25">
      <c r="B52" s="91" t="s">
        <v>52</v>
      </c>
    </row>
    <row r="53" spans="1:18" s="89" customFormat="1" hidden="1" x14ac:dyDescent="0.25">
      <c r="B53" s="91" t="s">
        <v>77</v>
      </c>
    </row>
    <row r="54" spans="1:18" s="89" customFormat="1" hidden="1" x14ac:dyDescent="0.25">
      <c r="B54" s="91"/>
    </row>
    <row r="55" spans="1:18" s="89" customFormat="1" hidden="1" x14ac:dyDescent="0.25">
      <c r="A55" s="89" t="s">
        <v>78</v>
      </c>
      <c r="B55" s="93">
        <v>2636.88</v>
      </c>
      <c r="C55" s="94">
        <v>2672.03</v>
      </c>
      <c r="D55" s="93">
        <v>2810.54</v>
      </c>
      <c r="E55" s="94">
        <v>2908.65</v>
      </c>
      <c r="F55" s="93">
        <v>3029.55</v>
      </c>
      <c r="G55" s="93">
        <v>3123.35</v>
      </c>
      <c r="H55" s="93">
        <v>3218.42</v>
      </c>
      <c r="I55" s="94">
        <v>3349.23</v>
      </c>
      <c r="J55" s="93">
        <v>3404.17</v>
      </c>
      <c r="K55" s="94">
        <v>3731.21</v>
      </c>
      <c r="L55" s="93">
        <v>3637.35</v>
      </c>
      <c r="M55" s="93">
        <v>4105.37</v>
      </c>
      <c r="N55" s="94">
        <v>4486.91</v>
      </c>
      <c r="O55" s="93">
        <v>4710.55</v>
      </c>
      <c r="P55" s="94">
        <v>4928.57</v>
      </c>
      <c r="Q55" s="93">
        <v>5505.3</v>
      </c>
      <c r="R55" s="95">
        <v>5505.3</v>
      </c>
    </row>
    <row r="56" spans="1:18" hidden="1" x14ac:dyDescent="0.25"/>
    <row r="58" spans="1:18" x14ac:dyDescent="0.25">
      <c r="B58" s="34"/>
    </row>
    <row r="60" spans="1:18" x14ac:dyDescent="0.25">
      <c r="B60" s="34"/>
      <c r="C60" s="1"/>
      <c r="D60" s="1"/>
      <c r="E60" s="1"/>
      <c r="F60" s="1"/>
      <c r="G60" s="1"/>
      <c r="H60" s="1"/>
      <c r="I60" s="1"/>
      <c r="J60" s="1"/>
      <c r="K60" s="1"/>
      <c r="L60" s="1"/>
      <c r="M60" s="1"/>
      <c r="N60" s="1"/>
      <c r="O60" s="1"/>
      <c r="P60" s="1"/>
      <c r="Q60" s="1"/>
      <c r="R60" s="1"/>
    </row>
    <row r="61" spans="1:18" x14ac:dyDescent="0.25">
      <c r="B61" s="34"/>
    </row>
    <row r="66" spans="2:18" x14ac:dyDescent="0.25">
      <c r="B66" s="34"/>
      <c r="C66" s="34"/>
      <c r="D66" s="34"/>
      <c r="E66" s="34"/>
      <c r="F66" s="34"/>
      <c r="G66" s="34"/>
      <c r="H66" s="34"/>
      <c r="I66" s="34"/>
      <c r="J66" s="34"/>
      <c r="K66" s="34"/>
      <c r="L66" s="34"/>
      <c r="M66" s="34"/>
      <c r="N66" s="34"/>
      <c r="O66" s="34"/>
      <c r="P66" s="34"/>
      <c r="Q66" s="34"/>
      <c r="R66" s="34"/>
    </row>
  </sheetData>
  <phoneticPr fontId="1" type="noConversion"/>
  <conditionalFormatting sqref="B2">
    <cfRule type="expression" dxfId="3" priority="1">
      <formula>B1="Generale"</formula>
    </cfRule>
  </conditionalFormatting>
  <dataValidations count="2">
    <dataValidation type="list" allowBlank="1" showInputMessage="1" showErrorMessage="1" sqref="B1" xr:uid="{00000000-0002-0000-0400-000000000000}">
      <formula1>$B$44:$B$45</formula1>
    </dataValidation>
    <dataValidation type="list" allowBlank="1" showInputMessage="1" showErrorMessage="1" sqref="B5" xr:uid="{00000000-0002-0000-0400-000001000000}">
      <formula1>$B$52:$B$53</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6"/>
  <dimension ref="A1:M29"/>
  <sheetViews>
    <sheetView workbookViewId="0">
      <selection activeCell="N3" sqref="N3"/>
    </sheetView>
  </sheetViews>
  <sheetFormatPr defaultRowHeight="15" x14ac:dyDescent="0.25"/>
  <cols>
    <col min="1" max="1" width="16.140625" bestFit="1" customWidth="1"/>
    <col min="4" max="4" width="9.5703125" bestFit="1" customWidth="1"/>
    <col min="5" max="5" width="11.140625" bestFit="1" customWidth="1"/>
    <col min="8" max="8" width="11.42578125" bestFit="1" customWidth="1"/>
    <col min="11" max="11" width="10.140625" bestFit="1" customWidth="1"/>
  </cols>
  <sheetData>
    <row r="1" spans="1:13" x14ac:dyDescent="0.25">
      <c r="E1" s="420" t="s">
        <v>79</v>
      </c>
      <c r="F1" s="420"/>
      <c r="G1" s="420"/>
      <c r="H1" s="87">
        <v>0</v>
      </c>
    </row>
    <row r="2" spans="1:13" x14ac:dyDescent="0.25">
      <c r="E2" s="420" t="s">
        <v>80</v>
      </c>
      <c r="F2" s="420"/>
      <c r="G2" s="420"/>
      <c r="H2" s="88">
        <v>26</v>
      </c>
    </row>
    <row r="3" spans="1:13" ht="15.75" thickBot="1" x14ac:dyDescent="0.3"/>
    <row r="4" spans="1:13" ht="15.75" thickBot="1" x14ac:dyDescent="0.3">
      <c r="A4" s="35" t="s">
        <v>81</v>
      </c>
      <c r="J4" s="421" t="s">
        <v>82</v>
      </c>
      <c r="K4" s="422"/>
      <c r="L4" s="422"/>
      <c r="M4" s="423"/>
    </row>
    <row r="5" spans="1:13" ht="60" x14ac:dyDescent="0.25">
      <c r="A5" s="36"/>
      <c r="B5" s="37" t="s">
        <v>83</v>
      </c>
      <c r="C5" s="38" t="s">
        <v>84</v>
      </c>
      <c r="D5" s="39" t="s">
        <v>85</v>
      </c>
      <c r="E5" s="39" t="s">
        <v>86</v>
      </c>
      <c r="F5" s="39" t="s">
        <v>87</v>
      </c>
      <c r="G5" s="39" t="s">
        <v>61</v>
      </c>
      <c r="H5" s="40" t="s">
        <v>88</v>
      </c>
      <c r="I5" s="41" t="s">
        <v>89</v>
      </c>
      <c r="J5" s="42" t="s">
        <v>90</v>
      </c>
      <c r="K5" s="43" t="s">
        <v>91</v>
      </c>
      <c r="L5" s="44" t="s">
        <v>92</v>
      </c>
      <c r="M5" s="45" t="s">
        <v>93</v>
      </c>
    </row>
    <row r="6" spans="1:13" x14ac:dyDescent="0.25">
      <c r="A6" s="46" t="s">
        <v>94</v>
      </c>
      <c r="B6" s="82">
        <v>28342.720000000001</v>
      </c>
      <c r="C6" s="47">
        <f t="shared" ref="C6:D28" si="0">+ROUND(B6/12,2)</f>
        <v>2361.89</v>
      </c>
      <c r="D6" s="47">
        <f t="shared" si="0"/>
        <v>196.82</v>
      </c>
      <c r="E6" s="47">
        <f>+D6</f>
        <v>196.82</v>
      </c>
      <c r="F6" s="48">
        <f>+E6+D6+C6</f>
        <v>2755.5299999999997</v>
      </c>
      <c r="G6" s="48">
        <f>+ROUND(F6*35.3/100,2)</f>
        <v>972.7</v>
      </c>
      <c r="H6" s="49">
        <f>+$H$2*$H$1</f>
        <v>0</v>
      </c>
      <c r="I6" s="50">
        <f>+G6+F6+H6</f>
        <v>3728.2299999999996</v>
      </c>
      <c r="J6" s="51">
        <f>+ROUND(I6/156,2)</f>
        <v>23.9</v>
      </c>
      <c r="K6" s="52">
        <f>ROUND((C6*1.353)/156*1.15,2)</f>
        <v>23.56</v>
      </c>
      <c r="L6" s="48">
        <f>ROUND((C6*1.353)/156*1.3,2)</f>
        <v>26.63</v>
      </c>
      <c r="M6" s="50">
        <f>ROUND((C6*1.353)/156*1.5,2)</f>
        <v>30.73</v>
      </c>
    </row>
    <row r="7" spans="1:13" x14ac:dyDescent="0.25">
      <c r="A7" s="46" t="s">
        <v>95</v>
      </c>
      <c r="B7" s="82">
        <v>26510.86</v>
      </c>
      <c r="C7" s="47">
        <f t="shared" si="0"/>
        <v>2209.2399999999998</v>
      </c>
      <c r="D7" s="47">
        <f t="shared" si="0"/>
        <v>184.1</v>
      </c>
      <c r="E7" s="47">
        <f t="shared" ref="E7:E28" si="1">+D7</f>
        <v>184.1</v>
      </c>
      <c r="F7" s="48">
        <f t="shared" ref="F7:F28" si="2">+E7+D7+C7</f>
        <v>2577.4399999999996</v>
      </c>
      <c r="G7" s="48">
        <f t="shared" ref="G7:G28" si="3">+ROUND(F7*35.3/100,2)</f>
        <v>909.84</v>
      </c>
      <c r="H7" s="49">
        <f t="shared" ref="H7:H28" si="4">+$H$2*$H$1</f>
        <v>0</v>
      </c>
      <c r="I7" s="50">
        <f t="shared" ref="I7:I28" si="5">+G7+F7+H7</f>
        <v>3487.2799999999997</v>
      </c>
      <c r="J7" s="51">
        <f t="shared" ref="J7:J28" si="6">+ROUND(I7/156,2)</f>
        <v>22.35</v>
      </c>
      <c r="K7" s="52">
        <f t="shared" ref="K7:K28" si="7">ROUND((C7*1.353)/156*1.15,2)</f>
        <v>22.04</v>
      </c>
      <c r="L7" s="48">
        <f t="shared" ref="L7:L28" si="8">ROUND((C7*1.353)/156*1.3,2)</f>
        <v>24.91</v>
      </c>
      <c r="M7" s="50">
        <f t="shared" ref="M7:M28" si="9">ROUND((C7*1.353)/156*1.5,2)</f>
        <v>28.74</v>
      </c>
    </row>
    <row r="8" spans="1:13" ht="15.75" thickBot="1" x14ac:dyDescent="0.3">
      <c r="A8" s="53" t="s">
        <v>96</v>
      </c>
      <c r="B8" s="83">
        <v>25377.759999999998</v>
      </c>
      <c r="C8" s="54">
        <f t="shared" si="0"/>
        <v>2114.81</v>
      </c>
      <c r="D8" s="54">
        <f t="shared" si="0"/>
        <v>176.23</v>
      </c>
      <c r="E8" s="54">
        <f t="shared" si="1"/>
        <v>176.23</v>
      </c>
      <c r="F8" s="55">
        <f t="shared" si="2"/>
        <v>2467.27</v>
      </c>
      <c r="G8" s="55">
        <f t="shared" si="3"/>
        <v>870.95</v>
      </c>
      <c r="H8" s="56">
        <f t="shared" si="4"/>
        <v>0</v>
      </c>
      <c r="I8" s="57">
        <f t="shared" si="5"/>
        <v>3338.2200000000003</v>
      </c>
      <c r="J8" s="58">
        <f t="shared" si="6"/>
        <v>21.4</v>
      </c>
      <c r="K8" s="59">
        <f t="shared" si="7"/>
        <v>21.09</v>
      </c>
      <c r="L8" s="55">
        <f t="shared" si="8"/>
        <v>23.84</v>
      </c>
      <c r="M8" s="57">
        <f t="shared" si="9"/>
        <v>27.51</v>
      </c>
    </row>
    <row r="9" spans="1:13" ht="15.75" thickBot="1" x14ac:dyDescent="0.3">
      <c r="A9" s="60" t="s">
        <v>97</v>
      </c>
      <c r="B9" s="84">
        <v>24338.14</v>
      </c>
      <c r="C9" s="61">
        <f t="shared" si="0"/>
        <v>2028.18</v>
      </c>
      <c r="D9" s="61">
        <f t="shared" si="0"/>
        <v>169.02</v>
      </c>
      <c r="E9" s="61">
        <f t="shared" si="1"/>
        <v>169.02</v>
      </c>
      <c r="F9" s="62">
        <f t="shared" si="2"/>
        <v>2366.2200000000003</v>
      </c>
      <c r="G9" s="62">
        <f t="shared" si="3"/>
        <v>835.28</v>
      </c>
      <c r="H9" s="63">
        <f t="shared" si="4"/>
        <v>0</v>
      </c>
      <c r="I9" s="64">
        <f t="shared" si="5"/>
        <v>3201.5</v>
      </c>
      <c r="J9" s="65">
        <f t="shared" si="6"/>
        <v>20.52</v>
      </c>
      <c r="K9" s="66">
        <f t="shared" si="7"/>
        <v>20.23</v>
      </c>
      <c r="L9" s="62">
        <f t="shared" si="8"/>
        <v>22.87</v>
      </c>
      <c r="M9" s="64">
        <f t="shared" si="9"/>
        <v>26.39</v>
      </c>
    </row>
    <row r="10" spans="1:13" ht="15.75" thickBot="1" x14ac:dyDescent="0.3">
      <c r="A10" s="67" t="s">
        <v>98</v>
      </c>
      <c r="B10" s="85">
        <v>22203.89</v>
      </c>
      <c r="C10" s="68">
        <f t="shared" si="0"/>
        <v>1850.32</v>
      </c>
      <c r="D10" s="68">
        <f t="shared" si="0"/>
        <v>154.19</v>
      </c>
      <c r="E10" s="68">
        <f t="shared" si="1"/>
        <v>154.19</v>
      </c>
      <c r="F10" s="69">
        <f t="shared" si="2"/>
        <v>2158.6999999999998</v>
      </c>
      <c r="G10" s="69">
        <f t="shared" si="3"/>
        <v>762.02</v>
      </c>
      <c r="H10" s="70">
        <f t="shared" si="4"/>
        <v>0</v>
      </c>
      <c r="I10" s="71">
        <f t="shared" si="5"/>
        <v>2920.72</v>
      </c>
      <c r="J10" s="72">
        <f t="shared" si="6"/>
        <v>18.72</v>
      </c>
      <c r="K10" s="73">
        <f t="shared" si="7"/>
        <v>18.46</v>
      </c>
      <c r="L10" s="69">
        <f t="shared" si="8"/>
        <v>20.86</v>
      </c>
      <c r="M10" s="71">
        <f t="shared" si="9"/>
        <v>24.07</v>
      </c>
    </row>
    <row r="11" spans="1:13" ht="15.75" thickBot="1" x14ac:dyDescent="0.3">
      <c r="A11" s="60" t="s">
        <v>99</v>
      </c>
      <c r="B11" s="84">
        <v>21166.71</v>
      </c>
      <c r="C11" s="61">
        <f t="shared" si="0"/>
        <v>1763.89</v>
      </c>
      <c r="D11" s="61">
        <f t="shared" si="0"/>
        <v>146.99</v>
      </c>
      <c r="E11" s="61">
        <f t="shared" si="1"/>
        <v>146.99</v>
      </c>
      <c r="F11" s="62">
        <f t="shared" si="2"/>
        <v>2057.87</v>
      </c>
      <c r="G11" s="62">
        <f t="shared" si="3"/>
        <v>726.43</v>
      </c>
      <c r="H11" s="63">
        <f t="shared" si="4"/>
        <v>0</v>
      </c>
      <c r="I11" s="64">
        <f t="shared" si="5"/>
        <v>2784.2999999999997</v>
      </c>
      <c r="J11" s="65">
        <f t="shared" si="6"/>
        <v>17.850000000000001</v>
      </c>
      <c r="K11" s="66">
        <f t="shared" si="7"/>
        <v>17.59</v>
      </c>
      <c r="L11" s="62">
        <f t="shared" si="8"/>
        <v>19.89</v>
      </c>
      <c r="M11" s="64">
        <f t="shared" si="9"/>
        <v>22.95</v>
      </c>
    </row>
    <row r="12" spans="1:13" x14ac:dyDescent="0.25">
      <c r="A12" s="74" t="s">
        <v>100</v>
      </c>
      <c r="B12" s="86">
        <v>21901.32</v>
      </c>
      <c r="C12" s="75">
        <f t="shared" si="0"/>
        <v>1825.11</v>
      </c>
      <c r="D12" s="75">
        <f t="shared" si="0"/>
        <v>152.09</v>
      </c>
      <c r="E12" s="75">
        <f t="shared" si="1"/>
        <v>152.09</v>
      </c>
      <c r="F12" s="76">
        <f t="shared" si="2"/>
        <v>2129.29</v>
      </c>
      <c r="G12" s="76">
        <f t="shared" si="3"/>
        <v>751.64</v>
      </c>
      <c r="H12" s="77">
        <f t="shared" si="4"/>
        <v>0</v>
      </c>
      <c r="I12" s="78">
        <f t="shared" si="5"/>
        <v>2880.93</v>
      </c>
      <c r="J12" s="79">
        <f t="shared" si="6"/>
        <v>18.47</v>
      </c>
      <c r="K12" s="80">
        <f t="shared" si="7"/>
        <v>18.2</v>
      </c>
      <c r="L12" s="76">
        <f t="shared" si="8"/>
        <v>20.58</v>
      </c>
      <c r="M12" s="78">
        <f t="shared" si="9"/>
        <v>23.74</v>
      </c>
    </row>
    <row r="13" spans="1:13" x14ac:dyDescent="0.25">
      <c r="A13" s="46" t="s">
        <v>101</v>
      </c>
      <c r="B13" s="82">
        <v>21120.11</v>
      </c>
      <c r="C13" s="47">
        <f t="shared" si="0"/>
        <v>1760.01</v>
      </c>
      <c r="D13" s="47">
        <f t="shared" si="0"/>
        <v>146.66999999999999</v>
      </c>
      <c r="E13" s="47">
        <f t="shared" si="1"/>
        <v>146.66999999999999</v>
      </c>
      <c r="F13" s="48">
        <f t="shared" si="2"/>
        <v>2053.35</v>
      </c>
      <c r="G13" s="48">
        <f t="shared" si="3"/>
        <v>724.83</v>
      </c>
      <c r="H13" s="49">
        <f t="shared" si="4"/>
        <v>0</v>
      </c>
      <c r="I13" s="50">
        <f t="shared" si="5"/>
        <v>2778.18</v>
      </c>
      <c r="J13" s="51">
        <f t="shared" si="6"/>
        <v>17.809999999999999</v>
      </c>
      <c r="K13" s="52">
        <f t="shared" si="7"/>
        <v>17.55</v>
      </c>
      <c r="L13" s="48">
        <f t="shared" si="8"/>
        <v>19.84</v>
      </c>
      <c r="M13" s="50">
        <f t="shared" si="9"/>
        <v>22.9</v>
      </c>
    </row>
    <row r="14" spans="1:13" x14ac:dyDescent="0.25">
      <c r="A14" s="46" t="s">
        <v>102</v>
      </c>
      <c r="B14" s="82">
        <v>20472.62</v>
      </c>
      <c r="C14" s="47">
        <f t="shared" si="0"/>
        <v>1706.05</v>
      </c>
      <c r="D14" s="47">
        <f t="shared" si="0"/>
        <v>142.16999999999999</v>
      </c>
      <c r="E14" s="47">
        <f t="shared" si="1"/>
        <v>142.16999999999999</v>
      </c>
      <c r="F14" s="48">
        <f t="shared" si="2"/>
        <v>1990.3899999999999</v>
      </c>
      <c r="G14" s="48">
        <f t="shared" si="3"/>
        <v>702.61</v>
      </c>
      <c r="H14" s="49">
        <f t="shared" si="4"/>
        <v>0</v>
      </c>
      <c r="I14" s="50">
        <f t="shared" si="5"/>
        <v>2693</v>
      </c>
      <c r="J14" s="51">
        <f t="shared" si="6"/>
        <v>17.260000000000002</v>
      </c>
      <c r="K14" s="52">
        <f t="shared" si="7"/>
        <v>17.02</v>
      </c>
      <c r="L14" s="48">
        <f t="shared" si="8"/>
        <v>19.239999999999998</v>
      </c>
      <c r="M14" s="50">
        <f t="shared" si="9"/>
        <v>22.2</v>
      </c>
    </row>
    <row r="15" spans="1:13" ht="15.75" thickBot="1" x14ac:dyDescent="0.3">
      <c r="A15" s="53" t="s">
        <v>103</v>
      </c>
      <c r="B15" s="83">
        <v>19917.86</v>
      </c>
      <c r="C15" s="54">
        <f t="shared" si="0"/>
        <v>1659.82</v>
      </c>
      <c r="D15" s="54">
        <f t="shared" si="0"/>
        <v>138.32</v>
      </c>
      <c r="E15" s="54">
        <f t="shared" si="1"/>
        <v>138.32</v>
      </c>
      <c r="F15" s="55">
        <f t="shared" si="2"/>
        <v>1936.46</v>
      </c>
      <c r="G15" s="55">
        <f t="shared" si="3"/>
        <v>683.57</v>
      </c>
      <c r="H15" s="56">
        <f t="shared" si="4"/>
        <v>0</v>
      </c>
      <c r="I15" s="57">
        <f t="shared" si="5"/>
        <v>2620.0300000000002</v>
      </c>
      <c r="J15" s="58">
        <f t="shared" si="6"/>
        <v>16.8</v>
      </c>
      <c r="K15" s="59">
        <f t="shared" si="7"/>
        <v>16.559999999999999</v>
      </c>
      <c r="L15" s="55">
        <f t="shared" si="8"/>
        <v>18.71</v>
      </c>
      <c r="M15" s="57">
        <f t="shared" si="9"/>
        <v>21.59</v>
      </c>
    </row>
    <row r="16" spans="1:13" ht="15.75" thickBot="1" x14ac:dyDescent="0.3">
      <c r="A16" s="60" t="s">
        <v>104</v>
      </c>
      <c r="B16" s="84">
        <v>19454.150000000001</v>
      </c>
      <c r="C16" s="61">
        <f t="shared" si="0"/>
        <v>1621.18</v>
      </c>
      <c r="D16" s="61">
        <f t="shared" si="0"/>
        <v>135.1</v>
      </c>
      <c r="E16" s="61">
        <f t="shared" si="1"/>
        <v>135.1</v>
      </c>
      <c r="F16" s="62">
        <f t="shared" si="2"/>
        <v>1891.38</v>
      </c>
      <c r="G16" s="62">
        <f t="shared" si="3"/>
        <v>667.66</v>
      </c>
      <c r="H16" s="63">
        <f t="shared" si="4"/>
        <v>0</v>
      </c>
      <c r="I16" s="64">
        <f t="shared" si="5"/>
        <v>2559.04</v>
      </c>
      <c r="J16" s="65">
        <f t="shared" si="6"/>
        <v>16.399999999999999</v>
      </c>
      <c r="K16" s="66">
        <f t="shared" si="7"/>
        <v>16.170000000000002</v>
      </c>
      <c r="L16" s="62">
        <f t="shared" si="8"/>
        <v>18.28</v>
      </c>
      <c r="M16" s="64">
        <f t="shared" si="9"/>
        <v>21.09</v>
      </c>
    </row>
    <row r="17" spans="1:13" x14ac:dyDescent="0.25">
      <c r="A17" s="74" t="s">
        <v>105</v>
      </c>
      <c r="B17" s="86">
        <v>19878.400000000001</v>
      </c>
      <c r="C17" s="75">
        <f t="shared" si="0"/>
        <v>1656.53</v>
      </c>
      <c r="D17" s="75">
        <f t="shared" si="0"/>
        <v>138.04</v>
      </c>
      <c r="E17" s="75">
        <f t="shared" si="1"/>
        <v>138.04</v>
      </c>
      <c r="F17" s="76">
        <f t="shared" si="2"/>
        <v>1932.61</v>
      </c>
      <c r="G17" s="76">
        <f t="shared" si="3"/>
        <v>682.21</v>
      </c>
      <c r="H17" s="77">
        <f t="shared" si="4"/>
        <v>0</v>
      </c>
      <c r="I17" s="78">
        <f t="shared" si="5"/>
        <v>2614.8199999999997</v>
      </c>
      <c r="J17" s="79">
        <f t="shared" si="6"/>
        <v>16.760000000000002</v>
      </c>
      <c r="K17" s="80">
        <f t="shared" si="7"/>
        <v>16.52</v>
      </c>
      <c r="L17" s="76">
        <f t="shared" si="8"/>
        <v>18.68</v>
      </c>
      <c r="M17" s="78">
        <f t="shared" si="9"/>
        <v>21.55</v>
      </c>
    </row>
    <row r="18" spans="1:13" x14ac:dyDescent="0.25">
      <c r="A18" s="46" t="s">
        <v>106</v>
      </c>
      <c r="B18" s="82">
        <v>19143.580000000002</v>
      </c>
      <c r="C18" s="47">
        <f t="shared" si="0"/>
        <v>1595.3</v>
      </c>
      <c r="D18" s="47">
        <f t="shared" si="0"/>
        <v>132.94</v>
      </c>
      <c r="E18" s="47">
        <f t="shared" si="1"/>
        <v>132.94</v>
      </c>
      <c r="F18" s="48">
        <f t="shared" si="2"/>
        <v>1861.1799999999998</v>
      </c>
      <c r="G18" s="48">
        <f t="shared" si="3"/>
        <v>657</v>
      </c>
      <c r="H18" s="49">
        <f t="shared" si="4"/>
        <v>0</v>
      </c>
      <c r="I18" s="50">
        <f t="shared" si="5"/>
        <v>2518.1799999999998</v>
      </c>
      <c r="J18" s="51">
        <f t="shared" si="6"/>
        <v>16.14</v>
      </c>
      <c r="K18" s="52">
        <f t="shared" si="7"/>
        <v>15.91</v>
      </c>
      <c r="L18" s="48">
        <f t="shared" si="8"/>
        <v>17.989999999999998</v>
      </c>
      <c r="M18" s="50">
        <f t="shared" si="9"/>
        <v>20.75</v>
      </c>
    </row>
    <row r="19" spans="1:13" x14ac:dyDescent="0.25">
      <c r="A19" s="46" t="s">
        <v>107</v>
      </c>
      <c r="B19" s="82">
        <v>18808.79</v>
      </c>
      <c r="C19" s="47">
        <f t="shared" si="0"/>
        <v>1567.4</v>
      </c>
      <c r="D19" s="47">
        <f t="shared" si="0"/>
        <v>130.62</v>
      </c>
      <c r="E19" s="47">
        <f t="shared" si="1"/>
        <v>130.62</v>
      </c>
      <c r="F19" s="48">
        <f t="shared" si="2"/>
        <v>1828.64</v>
      </c>
      <c r="G19" s="48">
        <f t="shared" si="3"/>
        <v>645.51</v>
      </c>
      <c r="H19" s="49">
        <f t="shared" si="4"/>
        <v>0</v>
      </c>
      <c r="I19" s="50">
        <f t="shared" si="5"/>
        <v>2474.15</v>
      </c>
      <c r="J19" s="51">
        <f t="shared" si="6"/>
        <v>15.86</v>
      </c>
      <c r="K19" s="52">
        <f t="shared" si="7"/>
        <v>15.63</v>
      </c>
      <c r="L19" s="48">
        <f t="shared" si="8"/>
        <v>17.670000000000002</v>
      </c>
      <c r="M19" s="50">
        <f t="shared" si="9"/>
        <v>20.39</v>
      </c>
    </row>
    <row r="20" spans="1:13" ht="15.75" thickBot="1" x14ac:dyDescent="0.3">
      <c r="A20" s="46" t="s">
        <v>108</v>
      </c>
      <c r="B20" s="82">
        <v>18496.61</v>
      </c>
      <c r="C20" s="47">
        <f t="shared" si="0"/>
        <v>1541.38</v>
      </c>
      <c r="D20" s="47">
        <f t="shared" si="0"/>
        <v>128.44999999999999</v>
      </c>
      <c r="E20" s="47">
        <f t="shared" si="1"/>
        <v>128.44999999999999</v>
      </c>
      <c r="F20" s="48">
        <f t="shared" si="2"/>
        <v>1798.2800000000002</v>
      </c>
      <c r="G20" s="48">
        <f t="shared" si="3"/>
        <v>634.79</v>
      </c>
      <c r="H20" s="49">
        <f t="shared" si="4"/>
        <v>0</v>
      </c>
      <c r="I20" s="50">
        <f t="shared" si="5"/>
        <v>2433.0700000000002</v>
      </c>
      <c r="J20" s="51">
        <f t="shared" si="6"/>
        <v>15.6</v>
      </c>
      <c r="K20" s="52">
        <f t="shared" si="7"/>
        <v>15.37</v>
      </c>
      <c r="L20" s="48">
        <f t="shared" si="8"/>
        <v>17.38</v>
      </c>
      <c r="M20" s="50">
        <f t="shared" si="9"/>
        <v>20.05</v>
      </c>
    </row>
    <row r="21" spans="1:13" s="35" customFormat="1" ht="15.75" thickBot="1" x14ac:dyDescent="0.3">
      <c r="A21" s="60" t="s">
        <v>109</v>
      </c>
      <c r="B21" s="84">
        <v>18229.919999999998</v>
      </c>
      <c r="C21" s="61">
        <f t="shared" si="0"/>
        <v>1519.16</v>
      </c>
      <c r="D21" s="61">
        <f t="shared" si="0"/>
        <v>126.6</v>
      </c>
      <c r="E21" s="61">
        <f t="shared" si="1"/>
        <v>126.6</v>
      </c>
      <c r="F21" s="62">
        <f t="shared" si="2"/>
        <v>1772.3600000000001</v>
      </c>
      <c r="G21" s="62">
        <f t="shared" si="3"/>
        <v>625.64</v>
      </c>
      <c r="H21" s="63">
        <f t="shared" si="4"/>
        <v>0</v>
      </c>
      <c r="I21" s="64">
        <f t="shared" si="5"/>
        <v>2398</v>
      </c>
      <c r="J21" s="65">
        <f t="shared" si="6"/>
        <v>15.37</v>
      </c>
      <c r="K21" s="66">
        <f t="shared" si="7"/>
        <v>15.15</v>
      </c>
      <c r="L21" s="62">
        <f t="shared" si="8"/>
        <v>17.13</v>
      </c>
      <c r="M21" s="64">
        <f t="shared" si="9"/>
        <v>19.760000000000002</v>
      </c>
    </row>
    <row r="22" spans="1:13" ht="15.75" thickBot="1" x14ac:dyDescent="0.3">
      <c r="A22" s="53" t="s">
        <v>110</v>
      </c>
      <c r="B22" s="83">
        <v>17531.61</v>
      </c>
      <c r="C22" s="54">
        <f t="shared" si="0"/>
        <v>1460.97</v>
      </c>
      <c r="D22" s="54">
        <f t="shared" si="0"/>
        <v>121.75</v>
      </c>
      <c r="E22" s="54">
        <f t="shared" si="1"/>
        <v>121.75</v>
      </c>
      <c r="F22" s="55">
        <f t="shared" si="2"/>
        <v>1704.47</v>
      </c>
      <c r="G22" s="55">
        <f t="shared" si="3"/>
        <v>601.67999999999995</v>
      </c>
      <c r="H22" s="56">
        <f t="shared" si="4"/>
        <v>0</v>
      </c>
      <c r="I22" s="57">
        <f t="shared" si="5"/>
        <v>2306.15</v>
      </c>
      <c r="J22" s="58">
        <f t="shared" si="6"/>
        <v>14.78</v>
      </c>
      <c r="K22" s="59">
        <f t="shared" si="7"/>
        <v>14.57</v>
      </c>
      <c r="L22" s="55">
        <f t="shared" si="8"/>
        <v>16.47</v>
      </c>
      <c r="M22" s="57">
        <f t="shared" si="9"/>
        <v>19.010000000000002</v>
      </c>
    </row>
    <row r="23" spans="1:13" ht="15.75" thickBot="1" x14ac:dyDescent="0.3">
      <c r="A23" s="60" t="s">
        <v>111</v>
      </c>
      <c r="B23" s="84">
        <v>17244.71</v>
      </c>
      <c r="C23" s="61">
        <f t="shared" si="0"/>
        <v>1437.06</v>
      </c>
      <c r="D23" s="61">
        <f t="shared" si="0"/>
        <v>119.76</v>
      </c>
      <c r="E23" s="61">
        <f t="shared" si="1"/>
        <v>119.76</v>
      </c>
      <c r="F23" s="62">
        <f t="shared" si="2"/>
        <v>1676.58</v>
      </c>
      <c r="G23" s="62">
        <f t="shared" si="3"/>
        <v>591.83000000000004</v>
      </c>
      <c r="H23" s="63">
        <f t="shared" si="4"/>
        <v>0</v>
      </c>
      <c r="I23" s="64">
        <f t="shared" si="5"/>
        <v>2268.41</v>
      </c>
      <c r="J23" s="65">
        <f t="shared" si="6"/>
        <v>14.54</v>
      </c>
      <c r="K23" s="66">
        <f t="shared" si="7"/>
        <v>14.33</v>
      </c>
      <c r="L23" s="62">
        <f t="shared" si="8"/>
        <v>16.2</v>
      </c>
      <c r="M23" s="64">
        <f t="shared" si="9"/>
        <v>18.7</v>
      </c>
    </row>
    <row r="24" spans="1:13" x14ac:dyDescent="0.25">
      <c r="A24" s="74" t="s">
        <v>112</v>
      </c>
      <c r="B24" s="86">
        <v>17539.650000000001</v>
      </c>
      <c r="C24" s="75">
        <f t="shared" si="0"/>
        <v>1461.64</v>
      </c>
      <c r="D24" s="75">
        <f t="shared" si="0"/>
        <v>121.8</v>
      </c>
      <c r="E24" s="75">
        <f t="shared" si="1"/>
        <v>121.8</v>
      </c>
      <c r="F24" s="76">
        <f t="shared" si="2"/>
        <v>1705.24</v>
      </c>
      <c r="G24" s="76">
        <f t="shared" si="3"/>
        <v>601.95000000000005</v>
      </c>
      <c r="H24" s="77">
        <f t="shared" si="4"/>
        <v>0</v>
      </c>
      <c r="I24" s="78">
        <f t="shared" si="5"/>
        <v>2307.19</v>
      </c>
      <c r="J24" s="79">
        <f t="shared" si="6"/>
        <v>14.79</v>
      </c>
      <c r="K24" s="80">
        <f t="shared" si="7"/>
        <v>14.58</v>
      </c>
      <c r="L24" s="76">
        <f t="shared" si="8"/>
        <v>16.48</v>
      </c>
      <c r="M24" s="78">
        <f t="shared" si="9"/>
        <v>19.02</v>
      </c>
    </row>
    <row r="25" spans="1:13" x14ac:dyDescent="0.25">
      <c r="A25" s="46" t="s">
        <v>113</v>
      </c>
      <c r="B25" s="82">
        <v>17184.060000000001</v>
      </c>
      <c r="C25" s="47">
        <f t="shared" si="0"/>
        <v>1432.01</v>
      </c>
      <c r="D25" s="47">
        <f t="shared" si="0"/>
        <v>119.33</v>
      </c>
      <c r="E25" s="47">
        <f t="shared" si="1"/>
        <v>119.33</v>
      </c>
      <c r="F25" s="48">
        <f t="shared" si="2"/>
        <v>1670.67</v>
      </c>
      <c r="G25" s="48">
        <f t="shared" si="3"/>
        <v>589.75</v>
      </c>
      <c r="H25" s="49">
        <f t="shared" si="4"/>
        <v>0</v>
      </c>
      <c r="I25" s="50">
        <f t="shared" si="5"/>
        <v>2260.42</v>
      </c>
      <c r="J25" s="51">
        <f t="shared" si="6"/>
        <v>14.49</v>
      </c>
      <c r="K25" s="52">
        <f t="shared" si="7"/>
        <v>14.28</v>
      </c>
      <c r="L25" s="48">
        <f t="shared" si="8"/>
        <v>16.149999999999999</v>
      </c>
      <c r="M25" s="50">
        <f t="shared" si="9"/>
        <v>18.63</v>
      </c>
    </row>
    <row r="26" spans="1:13" x14ac:dyDescent="0.25">
      <c r="A26" s="46" t="s">
        <v>114</v>
      </c>
      <c r="B26" s="82">
        <v>16884.36</v>
      </c>
      <c r="C26" s="47">
        <f t="shared" si="0"/>
        <v>1407.03</v>
      </c>
      <c r="D26" s="47">
        <f t="shared" si="0"/>
        <v>117.25</v>
      </c>
      <c r="E26" s="47">
        <f t="shared" si="1"/>
        <v>117.25</v>
      </c>
      <c r="F26" s="48">
        <f t="shared" si="2"/>
        <v>1641.53</v>
      </c>
      <c r="G26" s="48">
        <f t="shared" si="3"/>
        <v>579.46</v>
      </c>
      <c r="H26" s="49">
        <f t="shared" si="4"/>
        <v>0</v>
      </c>
      <c r="I26" s="50">
        <f t="shared" si="5"/>
        <v>2220.9899999999998</v>
      </c>
      <c r="J26" s="51">
        <f t="shared" si="6"/>
        <v>14.24</v>
      </c>
      <c r="K26" s="52">
        <f t="shared" si="7"/>
        <v>14.03</v>
      </c>
      <c r="L26" s="48">
        <f t="shared" si="8"/>
        <v>15.86</v>
      </c>
      <c r="M26" s="50">
        <f t="shared" si="9"/>
        <v>18.3</v>
      </c>
    </row>
    <row r="27" spans="1:13" ht="15.75" thickBot="1" x14ac:dyDescent="0.3">
      <c r="A27" s="53" t="s">
        <v>115</v>
      </c>
      <c r="B27" s="83">
        <v>16533.95</v>
      </c>
      <c r="C27" s="54">
        <f t="shared" si="0"/>
        <v>1377.83</v>
      </c>
      <c r="D27" s="54">
        <f t="shared" si="0"/>
        <v>114.82</v>
      </c>
      <c r="E27" s="54">
        <f t="shared" si="1"/>
        <v>114.82</v>
      </c>
      <c r="F27" s="55">
        <f t="shared" si="2"/>
        <v>1607.4699999999998</v>
      </c>
      <c r="G27" s="55">
        <f t="shared" si="3"/>
        <v>567.44000000000005</v>
      </c>
      <c r="H27" s="56">
        <f t="shared" si="4"/>
        <v>0</v>
      </c>
      <c r="I27" s="57">
        <f t="shared" si="5"/>
        <v>2174.91</v>
      </c>
      <c r="J27" s="58">
        <f t="shared" si="6"/>
        <v>13.94</v>
      </c>
      <c r="K27" s="59">
        <f t="shared" si="7"/>
        <v>13.74</v>
      </c>
      <c r="L27" s="55">
        <f t="shared" si="8"/>
        <v>15.54</v>
      </c>
      <c r="M27" s="57">
        <f t="shared" si="9"/>
        <v>17.93</v>
      </c>
    </row>
    <row r="28" spans="1:13" ht="15.75" thickBot="1" x14ac:dyDescent="0.3">
      <c r="A28" s="60" t="s">
        <v>116</v>
      </c>
      <c r="B28" s="84">
        <v>16314.57</v>
      </c>
      <c r="C28" s="61">
        <f t="shared" si="0"/>
        <v>1359.55</v>
      </c>
      <c r="D28" s="61">
        <f t="shared" si="0"/>
        <v>113.3</v>
      </c>
      <c r="E28" s="61">
        <f t="shared" si="1"/>
        <v>113.3</v>
      </c>
      <c r="F28" s="62">
        <f t="shared" si="2"/>
        <v>1586.1499999999999</v>
      </c>
      <c r="G28" s="62">
        <f t="shared" si="3"/>
        <v>559.91</v>
      </c>
      <c r="H28" s="63">
        <f t="shared" si="4"/>
        <v>0</v>
      </c>
      <c r="I28" s="64">
        <f t="shared" si="5"/>
        <v>2146.06</v>
      </c>
      <c r="J28" s="65">
        <f t="shared" si="6"/>
        <v>13.76</v>
      </c>
      <c r="K28" s="66">
        <f t="shared" si="7"/>
        <v>13.56</v>
      </c>
      <c r="L28" s="62">
        <f t="shared" si="8"/>
        <v>15.33</v>
      </c>
      <c r="M28" s="64">
        <f t="shared" si="9"/>
        <v>17.690000000000001</v>
      </c>
    </row>
    <row r="29" spans="1:13" ht="15.75" thickBot="1" x14ac:dyDescent="0.3">
      <c r="A29" s="81"/>
    </row>
  </sheetData>
  <mergeCells count="3">
    <mergeCell ref="E1:G1"/>
    <mergeCell ref="E2:G2"/>
    <mergeCell ref="J4:M4"/>
  </mergeCells>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40"/>
  <sheetViews>
    <sheetView workbookViewId="0">
      <selection activeCell="N3" sqref="N3"/>
    </sheetView>
  </sheetViews>
  <sheetFormatPr defaultRowHeight="15" x14ac:dyDescent="0.25"/>
  <cols>
    <col min="1" max="1" width="16.140625" bestFit="1" customWidth="1"/>
    <col min="4" max="4" width="9.5703125" bestFit="1" customWidth="1"/>
    <col min="5" max="5" width="11.140625" bestFit="1" customWidth="1"/>
    <col min="8" max="8" width="11.42578125" bestFit="1" customWidth="1"/>
    <col min="11" max="11" width="10.140625" bestFit="1" customWidth="1"/>
  </cols>
  <sheetData>
    <row r="1" spans="1:22" x14ac:dyDescent="0.25">
      <c r="E1" s="420" t="s">
        <v>79</v>
      </c>
      <c r="F1" s="420"/>
      <c r="G1" s="420"/>
      <c r="H1" s="87">
        <v>0</v>
      </c>
    </row>
    <row r="2" spans="1:22" x14ac:dyDescent="0.25">
      <c r="E2" s="420" t="s">
        <v>80</v>
      </c>
      <c r="F2" s="420"/>
      <c r="G2" s="420"/>
      <c r="H2" s="88">
        <v>26</v>
      </c>
    </row>
    <row r="3" spans="1:22" ht="15.75" thickBot="1" x14ac:dyDescent="0.3"/>
    <row r="4" spans="1:22" ht="15.75" thickBot="1" x14ac:dyDescent="0.3">
      <c r="A4" s="35" t="s">
        <v>81</v>
      </c>
      <c r="J4" s="421" t="s">
        <v>303</v>
      </c>
      <c r="K4" s="422"/>
      <c r="L4" s="422"/>
      <c r="M4" s="423"/>
    </row>
    <row r="5" spans="1:22" ht="60" x14ac:dyDescent="0.25">
      <c r="A5" s="36"/>
      <c r="B5" s="37" t="s">
        <v>83</v>
      </c>
      <c r="C5" s="38" t="s">
        <v>84</v>
      </c>
      <c r="D5" s="39" t="s">
        <v>85</v>
      </c>
      <c r="E5" s="39" t="s">
        <v>86</v>
      </c>
      <c r="F5" s="39" t="s">
        <v>87</v>
      </c>
      <c r="G5" s="39" t="s">
        <v>61</v>
      </c>
      <c r="H5" s="40" t="s">
        <v>88</v>
      </c>
      <c r="I5" s="41" t="s">
        <v>89</v>
      </c>
      <c r="J5" s="42" t="s">
        <v>304</v>
      </c>
      <c r="K5" s="43" t="s">
        <v>91</v>
      </c>
      <c r="L5" s="44" t="s">
        <v>92</v>
      </c>
      <c r="M5" s="45" t="s">
        <v>93</v>
      </c>
      <c r="O5" s="236" t="s">
        <v>305</v>
      </c>
    </row>
    <row r="6" spans="1:22" x14ac:dyDescent="0.25">
      <c r="A6" s="46" t="s">
        <v>94</v>
      </c>
      <c r="B6" s="237">
        <f>+P6</f>
        <v>29638.84</v>
      </c>
      <c r="C6" s="238">
        <f t="shared" ref="C6:D28" si="0">+ROUND(B6/12,2)</f>
        <v>2469.9</v>
      </c>
      <c r="D6" s="238">
        <f t="shared" si="0"/>
        <v>205.83</v>
      </c>
      <c r="E6" s="238">
        <f>+D6</f>
        <v>205.83</v>
      </c>
      <c r="F6" s="48">
        <f>+E6+D6+C6</f>
        <v>2881.56</v>
      </c>
      <c r="G6" s="48">
        <f t="shared" ref="G6:G28" si="1">+ROUND(F6*$B$38,2)</f>
        <v>1028.1400000000001</v>
      </c>
      <c r="H6" s="49">
        <f>+$H$2*$H$1</f>
        <v>0</v>
      </c>
      <c r="I6" s="50">
        <f>+G6+F6+H6</f>
        <v>3909.7</v>
      </c>
      <c r="J6" s="51">
        <f>+ROUND(I6/156,2)</f>
        <v>25.06</v>
      </c>
      <c r="K6" s="52">
        <f t="shared" ref="K6:K28" si="2">ROUND(((C6+D6)*$C$38)/156*1.15,2)</f>
        <v>26.76</v>
      </c>
      <c r="L6" s="48">
        <f t="shared" ref="L6:L28" si="3">ROUND(((C6+D6)*$C$38)/156*1.3,2)</f>
        <v>30.25</v>
      </c>
      <c r="M6" s="50">
        <f t="shared" ref="M6:M28" si="4">ROUND(((C6+D6)*$C$38)/156*1.5,2)</f>
        <v>34.909999999999997</v>
      </c>
      <c r="O6" s="239" t="s">
        <v>27</v>
      </c>
      <c r="P6" s="240">
        <v>29638.84</v>
      </c>
      <c r="Q6" s="241"/>
      <c r="R6" s="239" t="s">
        <v>306</v>
      </c>
      <c r="S6" s="240">
        <v>31138.84</v>
      </c>
      <c r="V6" s="1"/>
    </row>
    <row r="7" spans="1:22" x14ac:dyDescent="0.25">
      <c r="A7" s="46" t="s">
        <v>95</v>
      </c>
      <c r="B7" s="237">
        <f t="shared" ref="B7:B28" si="5">+P7</f>
        <v>27723.7</v>
      </c>
      <c r="C7" s="238">
        <f t="shared" si="0"/>
        <v>2310.31</v>
      </c>
      <c r="D7" s="238">
        <f t="shared" si="0"/>
        <v>192.53</v>
      </c>
      <c r="E7" s="238">
        <f t="shared" ref="E7:E28" si="6">+D7</f>
        <v>192.53</v>
      </c>
      <c r="F7" s="48">
        <f t="shared" ref="F7:F28" si="7">+E7+D7+C7</f>
        <v>2695.37</v>
      </c>
      <c r="G7" s="48">
        <f t="shared" si="1"/>
        <v>961.71</v>
      </c>
      <c r="H7" s="49">
        <f t="shared" ref="H7:H28" si="8">+$H$2*$H$1</f>
        <v>0</v>
      </c>
      <c r="I7" s="50">
        <f t="shared" ref="I7:I28" si="9">+G7+F7+H7</f>
        <v>3657.08</v>
      </c>
      <c r="J7" s="51">
        <f t="shared" ref="J7:J28" si="10">+ROUND(I7/156,2)</f>
        <v>23.44</v>
      </c>
      <c r="K7" s="52">
        <f t="shared" si="2"/>
        <v>25.03</v>
      </c>
      <c r="L7" s="48">
        <f t="shared" si="3"/>
        <v>28.3</v>
      </c>
      <c r="M7" s="50">
        <f t="shared" si="4"/>
        <v>32.65</v>
      </c>
      <c r="O7" s="239" t="s">
        <v>28</v>
      </c>
      <c r="P7" s="240">
        <v>27723.7</v>
      </c>
      <c r="Q7" s="241"/>
      <c r="R7" s="239" t="s">
        <v>307</v>
      </c>
      <c r="S7" s="240">
        <v>23543.200000000001</v>
      </c>
    </row>
    <row r="8" spans="1:22" ht="15.75" thickBot="1" x14ac:dyDescent="0.3">
      <c r="A8" s="53" t="s">
        <v>96</v>
      </c>
      <c r="B8" s="242">
        <f t="shared" si="5"/>
        <v>26538.880000000001</v>
      </c>
      <c r="C8" s="243">
        <f t="shared" si="0"/>
        <v>2211.5700000000002</v>
      </c>
      <c r="D8" s="243">
        <f t="shared" si="0"/>
        <v>184.3</v>
      </c>
      <c r="E8" s="243">
        <f t="shared" si="6"/>
        <v>184.3</v>
      </c>
      <c r="F8" s="55">
        <f t="shared" si="7"/>
        <v>2580.17</v>
      </c>
      <c r="G8" s="55">
        <f t="shared" si="1"/>
        <v>920.6</v>
      </c>
      <c r="H8" s="56">
        <f t="shared" si="8"/>
        <v>0</v>
      </c>
      <c r="I8" s="57">
        <f t="shared" si="9"/>
        <v>3500.77</v>
      </c>
      <c r="J8" s="58">
        <f t="shared" si="10"/>
        <v>22.44</v>
      </c>
      <c r="K8" s="59">
        <f t="shared" si="2"/>
        <v>23.96</v>
      </c>
      <c r="L8" s="55">
        <f t="shared" si="3"/>
        <v>27.09</v>
      </c>
      <c r="M8" s="57">
        <f t="shared" si="4"/>
        <v>31.26</v>
      </c>
      <c r="O8" s="239" t="s">
        <v>29</v>
      </c>
      <c r="P8" s="240">
        <v>26538.880000000001</v>
      </c>
      <c r="Q8" s="241"/>
      <c r="R8" s="239" t="s">
        <v>308</v>
      </c>
      <c r="S8" s="240">
        <v>21248.240000000002</v>
      </c>
    </row>
    <row r="9" spans="1:22" ht="15.75" thickBot="1" x14ac:dyDescent="0.3">
      <c r="A9" s="60" t="s">
        <v>97</v>
      </c>
      <c r="B9" s="244">
        <f t="shared" si="5"/>
        <v>25451.86</v>
      </c>
      <c r="C9" s="245">
        <f t="shared" si="0"/>
        <v>2120.9899999999998</v>
      </c>
      <c r="D9" s="245">
        <f t="shared" si="0"/>
        <v>176.75</v>
      </c>
      <c r="E9" s="245">
        <f t="shared" si="6"/>
        <v>176.75</v>
      </c>
      <c r="F9" s="62">
        <f t="shared" si="7"/>
        <v>2474.4899999999998</v>
      </c>
      <c r="G9" s="62">
        <f t="shared" si="1"/>
        <v>882.9</v>
      </c>
      <c r="H9" s="63">
        <f t="shared" si="8"/>
        <v>0</v>
      </c>
      <c r="I9" s="64">
        <f t="shared" si="9"/>
        <v>3357.39</v>
      </c>
      <c r="J9" s="65">
        <f t="shared" si="10"/>
        <v>21.52</v>
      </c>
      <c r="K9" s="66">
        <f t="shared" si="2"/>
        <v>22.98</v>
      </c>
      <c r="L9" s="62">
        <f t="shared" si="3"/>
        <v>25.98</v>
      </c>
      <c r="M9" s="64">
        <f t="shared" si="4"/>
        <v>29.98</v>
      </c>
      <c r="O9" s="239" t="s">
        <v>30</v>
      </c>
      <c r="P9" s="240">
        <v>25451.86</v>
      </c>
      <c r="Q9" s="241"/>
      <c r="R9" s="239" t="s">
        <v>309</v>
      </c>
      <c r="S9" s="240">
        <v>18661.97</v>
      </c>
    </row>
    <row r="10" spans="1:22" ht="15.75" thickBot="1" x14ac:dyDescent="0.3">
      <c r="A10" s="67" t="s">
        <v>98</v>
      </c>
      <c r="B10" s="246">
        <f t="shared" si="5"/>
        <v>23220.05</v>
      </c>
      <c r="C10" s="247">
        <f t="shared" si="0"/>
        <v>1935</v>
      </c>
      <c r="D10" s="247">
        <f t="shared" si="0"/>
        <v>161.25</v>
      </c>
      <c r="E10" s="247">
        <f t="shared" si="6"/>
        <v>161.25</v>
      </c>
      <c r="F10" s="69">
        <f t="shared" si="7"/>
        <v>2257.5</v>
      </c>
      <c r="G10" s="69">
        <f t="shared" si="1"/>
        <v>805.48</v>
      </c>
      <c r="H10" s="70">
        <f t="shared" si="8"/>
        <v>0</v>
      </c>
      <c r="I10" s="71">
        <f t="shared" si="9"/>
        <v>3062.98</v>
      </c>
      <c r="J10" s="72">
        <f t="shared" si="10"/>
        <v>19.63</v>
      </c>
      <c r="K10" s="73">
        <f t="shared" si="2"/>
        <v>20.97</v>
      </c>
      <c r="L10" s="69">
        <f t="shared" si="3"/>
        <v>23.7</v>
      </c>
      <c r="M10" s="71">
        <f t="shared" si="4"/>
        <v>27.35</v>
      </c>
      <c r="O10" s="239" t="s">
        <v>0</v>
      </c>
      <c r="P10" s="240">
        <v>23220.05</v>
      </c>
      <c r="Q10" s="241"/>
      <c r="R10" s="241"/>
      <c r="S10" s="241"/>
    </row>
    <row r="11" spans="1:22" ht="15.75" thickBot="1" x14ac:dyDescent="0.3">
      <c r="A11" s="60" t="s">
        <v>99</v>
      </c>
      <c r="B11" s="244">
        <f t="shared" si="5"/>
        <v>22135.47</v>
      </c>
      <c r="C11" s="245">
        <f t="shared" si="0"/>
        <v>1844.62</v>
      </c>
      <c r="D11" s="245">
        <f t="shared" si="0"/>
        <v>153.72</v>
      </c>
      <c r="E11" s="245">
        <f t="shared" si="6"/>
        <v>153.72</v>
      </c>
      <c r="F11" s="62">
        <f t="shared" si="7"/>
        <v>2152.06</v>
      </c>
      <c r="G11" s="62">
        <f t="shared" si="1"/>
        <v>767.86</v>
      </c>
      <c r="H11" s="63">
        <f t="shared" si="8"/>
        <v>0</v>
      </c>
      <c r="I11" s="64">
        <f t="shared" si="9"/>
        <v>2919.92</v>
      </c>
      <c r="J11" s="65">
        <f t="shared" si="10"/>
        <v>18.72</v>
      </c>
      <c r="K11" s="66">
        <f t="shared" si="2"/>
        <v>19.989999999999998</v>
      </c>
      <c r="L11" s="62">
        <f t="shared" si="3"/>
        <v>22.59</v>
      </c>
      <c r="M11" s="64">
        <f t="shared" si="4"/>
        <v>26.07</v>
      </c>
      <c r="O11" s="239" t="s">
        <v>31</v>
      </c>
      <c r="P11" s="240">
        <v>22135.47</v>
      </c>
      <c r="Q11" s="241"/>
      <c r="R11" s="241"/>
      <c r="S11" s="241"/>
    </row>
    <row r="12" spans="1:22" x14ac:dyDescent="0.25">
      <c r="A12" s="74" t="s">
        <v>100</v>
      </c>
      <c r="B12" s="248">
        <f t="shared" si="5"/>
        <v>22903.200000000001</v>
      </c>
      <c r="C12" s="249">
        <f t="shared" si="0"/>
        <v>1908.6</v>
      </c>
      <c r="D12" s="249">
        <f t="shared" si="0"/>
        <v>159.05000000000001</v>
      </c>
      <c r="E12" s="249">
        <f t="shared" si="6"/>
        <v>159.05000000000001</v>
      </c>
      <c r="F12" s="76">
        <f t="shared" si="7"/>
        <v>2226.6999999999998</v>
      </c>
      <c r="G12" s="76">
        <f t="shared" si="1"/>
        <v>794.49</v>
      </c>
      <c r="H12" s="77">
        <f t="shared" si="8"/>
        <v>0</v>
      </c>
      <c r="I12" s="78">
        <f t="shared" si="9"/>
        <v>3021.1899999999996</v>
      </c>
      <c r="J12" s="79">
        <f t="shared" si="10"/>
        <v>19.37</v>
      </c>
      <c r="K12" s="80">
        <f t="shared" si="2"/>
        <v>20.68</v>
      </c>
      <c r="L12" s="76">
        <f t="shared" si="3"/>
        <v>23.38</v>
      </c>
      <c r="M12" s="78">
        <f t="shared" si="4"/>
        <v>26.97</v>
      </c>
      <c r="O12" s="239" t="s">
        <v>32</v>
      </c>
      <c r="P12" s="240">
        <v>22903.200000000001</v>
      </c>
      <c r="Q12" s="241"/>
      <c r="R12" s="241"/>
      <c r="S12" s="241"/>
    </row>
    <row r="13" spans="1:22" x14ac:dyDescent="0.25">
      <c r="A13" s="250" t="s">
        <v>101</v>
      </c>
      <c r="B13" s="251">
        <f t="shared" si="5"/>
        <v>22086.11</v>
      </c>
      <c r="C13" s="252">
        <f t="shared" si="0"/>
        <v>1840.51</v>
      </c>
      <c r="D13" s="252">
        <f t="shared" si="0"/>
        <v>153.38</v>
      </c>
      <c r="E13" s="252">
        <f t="shared" si="6"/>
        <v>153.38</v>
      </c>
      <c r="F13" s="253">
        <f t="shared" si="7"/>
        <v>2147.27</v>
      </c>
      <c r="G13" s="253">
        <f t="shared" si="1"/>
        <v>766.15</v>
      </c>
      <c r="H13" s="254">
        <f t="shared" si="8"/>
        <v>0</v>
      </c>
      <c r="I13" s="255">
        <f t="shared" si="9"/>
        <v>2913.42</v>
      </c>
      <c r="J13" s="256">
        <f t="shared" si="10"/>
        <v>18.68</v>
      </c>
      <c r="K13" s="257">
        <f t="shared" si="2"/>
        <v>19.940000000000001</v>
      </c>
      <c r="L13" s="253">
        <f t="shared" si="3"/>
        <v>22.54</v>
      </c>
      <c r="M13" s="255">
        <f t="shared" si="4"/>
        <v>26.01</v>
      </c>
      <c r="O13" s="239" t="s">
        <v>33</v>
      </c>
      <c r="P13" s="240">
        <v>22086.11</v>
      </c>
      <c r="Q13" s="241"/>
      <c r="R13" s="241"/>
      <c r="S13" s="241"/>
    </row>
    <row r="14" spans="1:22" x14ac:dyDescent="0.25">
      <c r="A14" s="250" t="s">
        <v>102</v>
      </c>
      <c r="B14" s="251">
        <f t="shared" si="5"/>
        <v>21409.82</v>
      </c>
      <c r="C14" s="252">
        <f t="shared" si="0"/>
        <v>1784.15</v>
      </c>
      <c r="D14" s="252">
        <f t="shared" si="0"/>
        <v>148.68</v>
      </c>
      <c r="E14" s="252">
        <f t="shared" si="6"/>
        <v>148.68</v>
      </c>
      <c r="F14" s="253">
        <f t="shared" si="7"/>
        <v>2081.5100000000002</v>
      </c>
      <c r="G14" s="253">
        <f t="shared" si="1"/>
        <v>742.68</v>
      </c>
      <c r="H14" s="254">
        <f t="shared" si="8"/>
        <v>0</v>
      </c>
      <c r="I14" s="255">
        <f t="shared" si="9"/>
        <v>2824.19</v>
      </c>
      <c r="J14" s="256">
        <f t="shared" si="10"/>
        <v>18.100000000000001</v>
      </c>
      <c r="K14" s="257">
        <f t="shared" si="2"/>
        <v>19.329999999999998</v>
      </c>
      <c r="L14" s="253">
        <f t="shared" si="3"/>
        <v>21.85</v>
      </c>
      <c r="M14" s="255">
        <f t="shared" si="4"/>
        <v>25.22</v>
      </c>
      <c r="O14" s="239" t="s">
        <v>34</v>
      </c>
      <c r="P14" s="240">
        <v>21409.82</v>
      </c>
      <c r="Q14" s="241"/>
      <c r="R14" s="241"/>
      <c r="S14" s="241"/>
    </row>
    <row r="15" spans="1:22" ht="15.75" thickBot="1" x14ac:dyDescent="0.3">
      <c r="A15" s="258" t="s">
        <v>103</v>
      </c>
      <c r="B15" s="259">
        <f t="shared" si="5"/>
        <v>20829.259999999998</v>
      </c>
      <c r="C15" s="260">
        <f t="shared" si="0"/>
        <v>1735.77</v>
      </c>
      <c r="D15" s="260">
        <f t="shared" si="0"/>
        <v>144.65</v>
      </c>
      <c r="E15" s="260">
        <f t="shared" si="6"/>
        <v>144.65</v>
      </c>
      <c r="F15" s="261">
        <f t="shared" si="7"/>
        <v>2025.07</v>
      </c>
      <c r="G15" s="261">
        <f t="shared" si="1"/>
        <v>722.54</v>
      </c>
      <c r="H15" s="262">
        <f t="shared" si="8"/>
        <v>0</v>
      </c>
      <c r="I15" s="263">
        <f t="shared" si="9"/>
        <v>2747.6099999999997</v>
      </c>
      <c r="J15" s="264">
        <f t="shared" si="10"/>
        <v>17.61</v>
      </c>
      <c r="K15" s="265">
        <f t="shared" si="2"/>
        <v>18.809999999999999</v>
      </c>
      <c r="L15" s="261">
        <f t="shared" si="3"/>
        <v>21.26</v>
      </c>
      <c r="M15" s="263">
        <f t="shared" si="4"/>
        <v>24.53</v>
      </c>
      <c r="O15" s="239" t="s">
        <v>1</v>
      </c>
      <c r="P15" s="240">
        <v>20829.259999999998</v>
      </c>
      <c r="Q15" s="241"/>
      <c r="R15" s="241"/>
      <c r="S15" s="241"/>
    </row>
    <row r="16" spans="1:22" ht="15.75" thickBot="1" x14ac:dyDescent="0.3">
      <c r="A16" s="266" t="s">
        <v>104</v>
      </c>
      <c r="B16" s="267">
        <f t="shared" si="5"/>
        <v>20344.07</v>
      </c>
      <c r="C16" s="268">
        <f t="shared" si="0"/>
        <v>1695.34</v>
      </c>
      <c r="D16" s="268">
        <f t="shared" si="0"/>
        <v>141.28</v>
      </c>
      <c r="E16" s="268">
        <f t="shared" si="6"/>
        <v>141.28</v>
      </c>
      <c r="F16" s="269">
        <f t="shared" si="7"/>
        <v>1977.8999999999999</v>
      </c>
      <c r="G16" s="269">
        <f t="shared" si="1"/>
        <v>705.71</v>
      </c>
      <c r="H16" s="270">
        <f t="shared" si="8"/>
        <v>0</v>
      </c>
      <c r="I16" s="271">
        <f t="shared" si="9"/>
        <v>2683.6099999999997</v>
      </c>
      <c r="J16" s="272">
        <f t="shared" si="10"/>
        <v>17.2</v>
      </c>
      <c r="K16" s="273">
        <f t="shared" si="2"/>
        <v>18.37</v>
      </c>
      <c r="L16" s="269">
        <f t="shared" si="3"/>
        <v>20.77</v>
      </c>
      <c r="M16" s="271">
        <f t="shared" si="4"/>
        <v>23.96</v>
      </c>
      <c r="O16" s="239" t="s">
        <v>2</v>
      </c>
      <c r="P16" s="240">
        <v>20344.07</v>
      </c>
      <c r="Q16" s="241"/>
      <c r="R16" s="241"/>
      <c r="S16" s="241"/>
    </row>
    <row r="17" spans="1:20" x14ac:dyDescent="0.25">
      <c r="A17" s="274" t="s">
        <v>105</v>
      </c>
      <c r="B17" s="275">
        <f t="shared" si="5"/>
        <v>20788.240000000002</v>
      </c>
      <c r="C17" s="276">
        <f t="shared" si="0"/>
        <v>1732.35</v>
      </c>
      <c r="D17" s="276">
        <f t="shared" si="0"/>
        <v>144.36000000000001</v>
      </c>
      <c r="E17" s="276">
        <f t="shared" si="6"/>
        <v>144.36000000000001</v>
      </c>
      <c r="F17" s="277">
        <f t="shared" si="7"/>
        <v>2021.07</v>
      </c>
      <c r="G17" s="277">
        <f t="shared" si="1"/>
        <v>721.12</v>
      </c>
      <c r="H17" s="278">
        <f t="shared" si="8"/>
        <v>0</v>
      </c>
      <c r="I17" s="279">
        <f t="shared" si="9"/>
        <v>2742.19</v>
      </c>
      <c r="J17" s="280">
        <f t="shared" si="10"/>
        <v>17.579999999999998</v>
      </c>
      <c r="K17" s="281">
        <f t="shared" si="2"/>
        <v>18.77</v>
      </c>
      <c r="L17" s="277">
        <f t="shared" si="3"/>
        <v>21.22</v>
      </c>
      <c r="M17" s="279">
        <f t="shared" si="4"/>
        <v>24.48</v>
      </c>
      <c r="O17" s="239" t="s">
        <v>35</v>
      </c>
      <c r="P17" s="240">
        <v>20788.240000000002</v>
      </c>
      <c r="Q17" s="241"/>
      <c r="R17" s="241"/>
      <c r="S17" s="241"/>
    </row>
    <row r="18" spans="1:20" x14ac:dyDescent="0.25">
      <c r="A18" s="250" t="s">
        <v>106</v>
      </c>
      <c r="B18" s="251">
        <f t="shared" si="5"/>
        <v>20019.099999999999</v>
      </c>
      <c r="C18" s="252">
        <f t="shared" si="0"/>
        <v>1668.26</v>
      </c>
      <c r="D18" s="252">
        <f t="shared" si="0"/>
        <v>139.02000000000001</v>
      </c>
      <c r="E18" s="252">
        <f t="shared" si="6"/>
        <v>139.02000000000001</v>
      </c>
      <c r="F18" s="253">
        <f t="shared" si="7"/>
        <v>1946.3</v>
      </c>
      <c r="G18" s="253">
        <f t="shared" si="1"/>
        <v>694.44</v>
      </c>
      <c r="H18" s="254">
        <f t="shared" si="8"/>
        <v>0</v>
      </c>
      <c r="I18" s="255">
        <f t="shared" si="9"/>
        <v>2640.74</v>
      </c>
      <c r="J18" s="256">
        <f t="shared" si="10"/>
        <v>16.93</v>
      </c>
      <c r="K18" s="257">
        <f t="shared" si="2"/>
        <v>18.079999999999998</v>
      </c>
      <c r="L18" s="253">
        <f t="shared" si="3"/>
        <v>20.43</v>
      </c>
      <c r="M18" s="255">
        <f t="shared" si="4"/>
        <v>23.58</v>
      </c>
      <c r="O18" s="239" t="s">
        <v>36</v>
      </c>
      <c r="P18" s="240">
        <v>20019.099999999999</v>
      </c>
      <c r="Q18" s="241"/>
      <c r="R18" s="241"/>
      <c r="S18" s="241"/>
    </row>
    <row r="19" spans="1:20" x14ac:dyDescent="0.25">
      <c r="A19" s="250" t="s">
        <v>107</v>
      </c>
      <c r="B19" s="251">
        <f t="shared" si="5"/>
        <v>19669.91</v>
      </c>
      <c r="C19" s="252">
        <f t="shared" si="0"/>
        <v>1639.16</v>
      </c>
      <c r="D19" s="252">
        <f t="shared" si="0"/>
        <v>136.6</v>
      </c>
      <c r="E19" s="252">
        <f t="shared" si="6"/>
        <v>136.6</v>
      </c>
      <c r="F19" s="253">
        <f t="shared" si="7"/>
        <v>1912.3600000000001</v>
      </c>
      <c r="G19" s="253">
        <f t="shared" si="1"/>
        <v>682.33</v>
      </c>
      <c r="H19" s="254">
        <f t="shared" si="8"/>
        <v>0</v>
      </c>
      <c r="I19" s="255">
        <f t="shared" si="9"/>
        <v>2594.69</v>
      </c>
      <c r="J19" s="256">
        <f t="shared" si="10"/>
        <v>16.63</v>
      </c>
      <c r="K19" s="257">
        <f t="shared" si="2"/>
        <v>17.760000000000002</v>
      </c>
      <c r="L19" s="253">
        <f t="shared" si="3"/>
        <v>20.079999999999998</v>
      </c>
      <c r="M19" s="255">
        <f t="shared" si="4"/>
        <v>23.17</v>
      </c>
      <c r="O19" s="239" t="s">
        <v>37</v>
      </c>
      <c r="P19" s="240">
        <v>19669.91</v>
      </c>
      <c r="Q19" s="241"/>
      <c r="R19" s="241"/>
      <c r="S19" s="241"/>
    </row>
    <row r="20" spans="1:20" ht="15.75" thickBot="1" x14ac:dyDescent="0.3">
      <c r="A20" s="250" t="s">
        <v>108</v>
      </c>
      <c r="B20" s="251">
        <f t="shared" si="5"/>
        <v>19343.330000000002</v>
      </c>
      <c r="C20" s="252">
        <f t="shared" si="0"/>
        <v>1611.94</v>
      </c>
      <c r="D20" s="252">
        <f t="shared" si="0"/>
        <v>134.33000000000001</v>
      </c>
      <c r="E20" s="252">
        <f t="shared" si="6"/>
        <v>134.33000000000001</v>
      </c>
      <c r="F20" s="253">
        <f t="shared" si="7"/>
        <v>1880.6000000000001</v>
      </c>
      <c r="G20" s="253">
        <f t="shared" si="1"/>
        <v>671</v>
      </c>
      <c r="H20" s="254">
        <f t="shared" si="8"/>
        <v>0</v>
      </c>
      <c r="I20" s="255">
        <f t="shared" si="9"/>
        <v>2551.6000000000004</v>
      </c>
      <c r="J20" s="256">
        <f t="shared" si="10"/>
        <v>16.36</v>
      </c>
      <c r="K20" s="257">
        <f t="shared" si="2"/>
        <v>17.47</v>
      </c>
      <c r="L20" s="253">
        <f t="shared" si="3"/>
        <v>19.739999999999998</v>
      </c>
      <c r="M20" s="255">
        <f t="shared" si="4"/>
        <v>22.78</v>
      </c>
      <c r="O20" s="239" t="s">
        <v>38</v>
      </c>
      <c r="P20" s="240">
        <v>19343.330000000002</v>
      </c>
      <c r="Q20" s="241"/>
      <c r="R20" s="241"/>
      <c r="S20" s="241"/>
    </row>
    <row r="21" spans="1:20" s="35" customFormat="1" ht="15.75" thickBot="1" x14ac:dyDescent="0.3">
      <c r="A21" s="266" t="s">
        <v>109</v>
      </c>
      <c r="B21" s="267">
        <f t="shared" si="5"/>
        <v>19063.8</v>
      </c>
      <c r="C21" s="268">
        <f t="shared" si="0"/>
        <v>1588.65</v>
      </c>
      <c r="D21" s="268">
        <f t="shared" si="0"/>
        <v>132.38999999999999</v>
      </c>
      <c r="E21" s="268">
        <f t="shared" si="6"/>
        <v>132.38999999999999</v>
      </c>
      <c r="F21" s="269">
        <f t="shared" si="7"/>
        <v>1853.43</v>
      </c>
      <c r="G21" s="269">
        <f t="shared" si="1"/>
        <v>661.3</v>
      </c>
      <c r="H21" s="270">
        <f t="shared" si="8"/>
        <v>0</v>
      </c>
      <c r="I21" s="271">
        <f t="shared" si="9"/>
        <v>2514.73</v>
      </c>
      <c r="J21" s="272">
        <f t="shared" si="10"/>
        <v>16.12</v>
      </c>
      <c r="K21" s="273">
        <f t="shared" si="2"/>
        <v>17.21</v>
      </c>
      <c r="L21" s="269">
        <f t="shared" si="3"/>
        <v>19.46</v>
      </c>
      <c r="M21" s="271">
        <f t="shared" si="4"/>
        <v>22.45</v>
      </c>
      <c r="O21" s="239" t="s">
        <v>39</v>
      </c>
      <c r="P21" s="240">
        <v>19063.8</v>
      </c>
      <c r="Q21" s="282"/>
      <c r="R21" s="282"/>
      <c r="S21" s="282"/>
    </row>
    <row r="22" spans="1:20" ht="15.75" thickBot="1" x14ac:dyDescent="0.3">
      <c r="A22" s="258" t="s">
        <v>110</v>
      </c>
      <c r="B22" s="259">
        <f t="shared" si="5"/>
        <v>18333.93</v>
      </c>
      <c r="C22" s="260">
        <f t="shared" si="0"/>
        <v>1527.83</v>
      </c>
      <c r="D22" s="260">
        <f t="shared" si="0"/>
        <v>127.32</v>
      </c>
      <c r="E22" s="260">
        <f t="shared" si="6"/>
        <v>127.32</v>
      </c>
      <c r="F22" s="261">
        <f t="shared" si="7"/>
        <v>1782.4699999999998</v>
      </c>
      <c r="G22" s="261">
        <f t="shared" si="1"/>
        <v>635.99</v>
      </c>
      <c r="H22" s="262">
        <f t="shared" si="8"/>
        <v>0</v>
      </c>
      <c r="I22" s="263">
        <f t="shared" si="9"/>
        <v>2418.46</v>
      </c>
      <c r="J22" s="264">
        <f t="shared" si="10"/>
        <v>15.5</v>
      </c>
      <c r="K22" s="265">
        <f t="shared" si="2"/>
        <v>16.55</v>
      </c>
      <c r="L22" s="261">
        <f t="shared" si="3"/>
        <v>18.71</v>
      </c>
      <c r="M22" s="263">
        <f t="shared" si="4"/>
        <v>21.59</v>
      </c>
      <c r="O22" s="239" t="s">
        <v>40</v>
      </c>
      <c r="P22" s="240">
        <v>18333.93</v>
      </c>
      <c r="Q22" s="241"/>
      <c r="R22" s="282"/>
      <c r="S22" s="282"/>
      <c r="T22" s="3"/>
    </row>
    <row r="23" spans="1:20" ht="15.75" thickBot="1" x14ac:dyDescent="0.3">
      <c r="A23" s="266" t="s">
        <v>111</v>
      </c>
      <c r="B23" s="267">
        <f t="shared" si="5"/>
        <v>18034.07</v>
      </c>
      <c r="C23" s="268">
        <f t="shared" si="0"/>
        <v>1502.84</v>
      </c>
      <c r="D23" s="268">
        <f t="shared" si="0"/>
        <v>125.24</v>
      </c>
      <c r="E23" s="268">
        <f t="shared" si="6"/>
        <v>125.24</v>
      </c>
      <c r="F23" s="269">
        <f t="shared" si="7"/>
        <v>1753.32</v>
      </c>
      <c r="G23" s="269">
        <f t="shared" si="1"/>
        <v>625.58000000000004</v>
      </c>
      <c r="H23" s="270">
        <f t="shared" si="8"/>
        <v>0</v>
      </c>
      <c r="I23" s="271">
        <f t="shared" si="9"/>
        <v>2378.9</v>
      </c>
      <c r="J23" s="272">
        <f t="shared" si="10"/>
        <v>15.25</v>
      </c>
      <c r="K23" s="273">
        <f t="shared" si="2"/>
        <v>16.28</v>
      </c>
      <c r="L23" s="269">
        <f t="shared" si="3"/>
        <v>18.41</v>
      </c>
      <c r="M23" s="271">
        <f t="shared" si="4"/>
        <v>21.24</v>
      </c>
      <c r="O23" s="239" t="s">
        <v>3</v>
      </c>
      <c r="P23" s="240">
        <v>18034.07</v>
      </c>
      <c r="Q23" s="241"/>
      <c r="R23" s="241"/>
      <c r="S23" s="283"/>
      <c r="T23" s="3"/>
    </row>
    <row r="24" spans="1:20" x14ac:dyDescent="0.25">
      <c r="A24" s="274" t="s">
        <v>112</v>
      </c>
      <c r="B24" s="275">
        <f t="shared" si="5"/>
        <v>18341.97</v>
      </c>
      <c r="C24" s="276">
        <f t="shared" si="0"/>
        <v>1528.5</v>
      </c>
      <c r="D24" s="276">
        <f t="shared" si="0"/>
        <v>127.38</v>
      </c>
      <c r="E24" s="276">
        <f t="shared" si="6"/>
        <v>127.38</v>
      </c>
      <c r="F24" s="277">
        <f t="shared" si="7"/>
        <v>1783.26</v>
      </c>
      <c r="G24" s="277">
        <f t="shared" si="1"/>
        <v>636.27</v>
      </c>
      <c r="H24" s="278">
        <f t="shared" si="8"/>
        <v>0</v>
      </c>
      <c r="I24" s="279">
        <f t="shared" si="9"/>
        <v>2419.5299999999997</v>
      </c>
      <c r="J24" s="280">
        <f t="shared" si="10"/>
        <v>15.51</v>
      </c>
      <c r="K24" s="281">
        <f t="shared" si="2"/>
        <v>16.559999999999999</v>
      </c>
      <c r="L24" s="277">
        <f t="shared" si="3"/>
        <v>18.72</v>
      </c>
      <c r="M24" s="279">
        <f t="shared" si="4"/>
        <v>21.6</v>
      </c>
      <c r="O24" s="239" t="s">
        <v>41</v>
      </c>
      <c r="P24" s="240">
        <v>18341.97</v>
      </c>
      <c r="Q24" s="241"/>
      <c r="R24" s="241"/>
      <c r="S24" s="241"/>
    </row>
    <row r="25" spans="1:20" x14ac:dyDescent="0.25">
      <c r="A25" s="250" t="s">
        <v>113</v>
      </c>
      <c r="B25" s="251">
        <f t="shared" si="5"/>
        <v>17970.54</v>
      </c>
      <c r="C25" s="252">
        <f t="shared" si="0"/>
        <v>1497.55</v>
      </c>
      <c r="D25" s="252">
        <f t="shared" si="0"/>
        <v>124.8</v>
      </c>
      <c r="E25" s="252">
        <f t="shared" si="6"/>
        <v>124.8</v>
      </c>
      <c r="F25" s="253">
        <f t="shared" si="7"/>
        <v>1747.1499999999999</v>
      </c>
      <c r="G25" s="253">
        <f t="shared" si="1"/>
        <v>623.38</v>
      </c>
      <c r="H25" s="254">
        <f t="shared" si="8"/>
        <v>0</v>
      </c>
      <c r="I25" s="255">
        <f t="shared" si="9"/>
        <v>2370.5299999999997</v>
      </c>
      <c r="J25" s="256">
        <f t="shared" si="10"/>
        <v>15.2</v>
      </c>
      <c r="K25" s="257">
        <f t="shared" si="2"/>
        <v>16.23</v>
      </c>
      <c r="L25" s="253">
        <f t="shared" si="3"/>
        <v>18.34</v>
      </c>
      <c r="M25" s="255">
        <f t="shared" si="4"/>
        <v>21.17</v>
      </c>
      <c r="O25" s="239" t="s">
        <v>42</v>
      </c>
      <c r="P25" s="240">
        <v>17970.54</v>
      </c>
      <c r="Q25" s="241"/>
      <c r="R25" s="241"/>
      <c r="S25" s="241"/>
    </row>
    <row r="26" spans="1:20" x14ac:dyDescent="0.25">
      <c r="A26" s="250" t="s">
        <v>114</v>
      </c>
      <c r="B26" s="251">
        <f t="shared" si="5"/>
        <v>17656.560000000001</v>
      </c>
      <c r="C26" s="252">
        <f t="shared" si="0"/>
        <v>1471.38</v>
      </c>
      <c r="D26" s="252">
        <f t="shared" si="0"/>
        <v>122.62</v>
      </c>
      <c r="E26" s="252">
        <f t="shared" si="6"/>
        <v>122.62</v>
      </c>
      <c r="F26" s="253">
        <f t="shared" si="7"/>
        <v>1716.6200000000001</v>
      </c>
      <c r="G26" s="253">
        <f t="shared" si="1"/>
        <v>612.49</v>
      </c>
      <c r="H26" s="254">
        <f t="shared" si="8"/>
        <v>0</v>
      </c>
      <c r="I26" s="255">
        <f t="shared" si="9"/>
        <v>2329.11</v>
      </c>
      <c r="J26" s="256">
        <f t="shared" si="10"/>
        <v>14.93</v>
      </c>
      <c r="K26" s="257">
        <f t="shared" si="2"/>
        <v>15.94</v>
      </c>
      <c r="L26" s="253">
        <f t="shared" si="3"/>
        <v>18.02</v>
      </c>
      <c r="M26" s="255">
        <f t="shared" si="4"/>
        <v>20.8</v>
      </c>
      <c r="O26" s="239" t="s">
        <v>43</v>
      </c>
      <c r="P26" s="240">
        <v>17656.560000000001</v>
      </c>
      <c r="Q26" s="241"/>
      <c r="R26" s="241"/>
      <c r="S26" s="241"/>
    </row>
    <row r="27" spans="1:20" ht="15.75" thickBot="1" x14ac:dyDescent="0.3">
      <c r="A27" s="53" t="s">
        <v>115</v>
      </c>
      <c r="B27" s="242">
        <f t="shared" si="5"/>
        <v>17290.310000000001</v>
      </c>
      <c r="C27" s="243">
        <f t="shared" si="0"/>
        <v>1440.86</v>
      </c>
      <c r="D27" s="243">
        <f t="shared" si="0"/>
        <v>120.07</v>
      </c>
      <c r="E27" s="243">
        <f t="shared" si="6"/>
        <v>120.07</v>
      </c>
      <c r="F27" s="55">
        <f t="shared" si="7"/>
        <v>1681</v>
      </c>
      <c r="G27" s="55">
        <f t="shared" si="1"/>
        <v>599.78</v>
      </c>
      <c r="H27" s="56">
        <f t="shared" si="8"/>
        <v>0</v>
      </c>
      <c r="I27" s="57">
        <f t="shared" si="9"/>
        <v>2280.7799999999997</v>
      </c>
      <c r="J27" s="58">
        <f t="shared" si="10"/>
        <v>14.62</v>
      </c>
      <c r="K27" s="59">
        <f t="shared" si="2"/>
        <v>15.61</v>
      </c>
      <c r="L27" s="55">
        <f t="shared" si="3"/>
        <v>17.649999999999999</v>
      </c>
      <c r="M27" s="57">
        <f t="shared" si="4"/>
        <v>20.36</v>
      </c>
      <c r="O27" s="239" t="s">
        <v>5</v>
      </c>
      <c r="P27" s="240">
        <v>17290.310000000001</v>
      </c>
      <c r="Q27" s="241"/>
      <c r="R27" s="241"/>
      <c r="S27" s="241"/>
    </row>
    <row r="28" spans="1:20" ht="15.75" thickBot="1" x14ac:dyDescent="0.3">
      <c r="A28" s="60" t="s">
        <v>116</v>
      </c>
      <c r="B28" s="244">
        <f t="shared" si="5"/>
        <v>17060.97</v>
      </c>
      <c r="C28" s="245">
        <f t="shared" si="0"/>
        <v>1421.75</v>
      </c>
      <c r="D28" s="245">
        <f t="shared" si="0"/>
        <v>118.48</v>
      </c>
      <c r="E28" s="245">
        <f t="shared" si="6"/>
        <v>118.48</v>
      </c>
      <c r="F28" s="62">
        <f t="shared" si="7"/>
        <v>1658.71</v>
      </c>
      <c r="G28" s="62">
        <f t="shared" si="1"/>
        <v>591.83000000000004</v>
      </c>
      <c r="H28" s="63">
        <f t="shared" si="8"/>
        <v>0</v>
      </c>
      <c r="I28" s="64">
        <f t="shared" si="9"/>
        <v>2250.54</v>
      </c>
      <c r="J28" s="65">
        <f t="shared" si="10"/>
        <v>14.43</v>
      </c>
      <c r="K28" s="66">
        <f t="shared" si="2"/>
        <v>15.41</v>
      </c>
      <c r="L28" s="62">
        <f t="shared" si="3"/>
        <v>17.41</v>
      </c>
      <c r="M28" s="64">
        <f t="shared" si="4"/>
        <v>20.09</v>
      </c>
      <c r="O28" s="239" t="s">
        <v>4</v>
      </c>
      <c r="P28" s="240">
        <v>17060.97</v>
      </c>
      <c r="Q28" s="241"/>
      <c r="R28" s="241"/>
      <c r="S28" s="241"/>
    </row>
    <row r="29" spans="1:20" ht="15.75" thickBot="1" x14ac:dyDescent="0.3">
      <c r="A29" s="81"/>
    </row>
    <row r="30" spans="1:20" x14ac:dyDescent="0.25">
      <c r="J30" s="284"/>
    </row>
    <row r="31" spans="1:20" x14ac:dyDescent="0.25">
      <c r="A31" t="s">
        <v>310</v>
      </c>
      <c r="J31" s="284"/>
    </row>
    <row r="33" spans="1:3" x14ac:dyDescent="0.25">
      <c r="A33" t="s">
        <v>311</v>
      </c>
    </row>
    <row r="34" spans="1:3" x14ac:dyDescent="0.25">
      <c r="A34" s="164" t="s">
        <v>312</v>
      </c>
      <c r="B34" s="285">
        <v>0.23799999999999999</v>
      </c>
    </row>
    <row r="35" spans="1:3" x14ac:dyDescent="0.25">
      <c r="A35" s="164" t="s">
        <v>71</v>
      </c>
      <c r="B35" s="285">
        <v>8.5000000000000006E-2</v>
      </c>
    </row>
    <row r="36" spans="1:3" x14ac:dyDescent="0.25">
      <c r="A36" s="164" t="s">
        <v>313</v>
      </c>
      <c r="B36" s="285">
        <v>5.0000000000000001E-3</v>
      </c>
    </row>
    <row r="37" spans="1:3" x14ac:dyDescent="0.25">
      <c r="A37" s="164" t="s">
        <v>314</v>
      </c>
      <c r="B37" s="286">
        <f>3.6%*0.8</f>
        <v>2.8800000000000006E-2</v>
      </c>
    </row>
    <row r="38" spans="1:3" x14ac:dyDescent="0.25">
      <c r="B38" s="285">
        <f>+SUM(B34:B37)</f>
        <v>0.35680000000000001</v>
      </c>
      <c r="C38" s="285">
        <f>+B38+1</f>
        <v>1.3568</v>
      </c>
    </row>
    <row r="39" spans="1:3" x14ac:dyDescent="0.25">
      <c r="B39" s="3"/>
    </row>
    <row r="40" spans="1:3" x14ac:dyDescent="0.25">
      <c r="B40" s="3"/>
    </row>
  </sheetData>
  <mergeCells count="3">
    <mergeCell ref="E1:G1"/>
    <mergeCell ref="E2:G2"/>
    <mergeCell ref="J4:M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7"/>
  <sheetViews>
    <sheetView zoomScaleNormal="100" workbookViewId="0">
      <pane ySplit="9" topLeftCell="A16" activePane="bottomLeft" state="frozen"/>
      <selection activeCell="N3" sqref="N3"/>
      <selection pane="bottomLeft" activeCell="N3" sqref="N3"/>
    </sheetView>
  </sheetViews>
  <sheetFormatPr defaultRowHeight="15" x14ac:dyDescent="0.25"/>
  <cols>
    <col min="1" max="1" width="44.28515625" bestFit="1" customWidth="1"/>
    <col min="2" max="2" width="9.140625" style="1"/>
    <col min="4" max="4" width="11.140625" bestFit="1" customWidth="1"/>
    <col min="9" max="9" width="13.28515625" bestFit="1" customWidth="1"/>
  </cols>
  <sheetData>
    <row r="1" spans="1:19" x14ac:dyDescent="0.25">
      <c r="A1" t="s">
        <v>47</v>
      </c>
      <c r="B1" s="2" t="s">
        <v>73</v>
      </c>
    </row>
    <row r="2" spans="1:19" x14ac:dyDescent="0.25">
      <c r="A2" t="s">
        <v>48</v>
      </c>
      <c r="B2" s="2" t="str">
        <f>+INPUT!C2</f>
        <v>Sicilia</v>
      </c>
    </row>
    <row r="3" spans="1:19" x14ac:dyDescent="0.25">
      <c r="A3" t="s">
        <v>50</v>
      </c>
      <c r="B3" s="3">
        <f>+IF(B1="Generale",0.039,INDEX(C48:C51,MATCH(B2,B48:B51,0)))</f>
        <v>0</v>
      </c>
    </row>
    <row r="4" spans="1:19" x14ac:dyDescent="0.25">
      <c r="B4" s="3"/>
    </row>
    <row r="5" spans="1:19" x14ac:dyDescent="0.25">
      <c r="A5" t="s">
        <v>51</v>
      </c>
      <c r="B5" s="4" t="s">
        <v>77</v>
      </c>
    </row>
    <row r="6" spans="1:19" x14ac:dyDescent="0.25">
      <c r="A6" t="s">
        <v>128</v>
      </c>
      <c r="B6">
        <v>1548</v>
      </c>
      <c r="C6">
        <v>1548</v>
      </c>
    </row>
    <row r="7" spans="1:19" x14ac:dyDescent="0.25">
      <c r="B7"/>
    </row>
    <row r="8" spans="1:19" ht="15.75" thickBot="1" x14ac:dyDescent="0.3">
      <c r="B8" s="287"/>
    </row>
    <row r="9" spans="1:19" s="158" customFormat="1" x14ac:dyDescent="0.25">
      <c r="A9" s="231" t="s">
        <v>53</v>
      </c>
      <c r="B9" s="6" t="s">
        <v>4</v>
      </c>
      <c r="C9" s="233" t="s">
        <v>5</v>
      </c>
      <c r="D9" s="8" t="s">
        <v>3</v>
      </c>
      <c r="E9" s="233" t="s">
        <v>6</v>
      </c>
      <c r="F9" s="8" t="s">
        <v>2</v>
      </c>
      <c r="G9" s="8" t="s">
        <v>1</v>
      </c>
      <c r="H9" s="8" t="s">
        <v>7</v>
      </c>
      <c r="I9" s="233" t="s">
        <v>8</v>
      </c>
      <c r="J9" s="8" t="s">
        <v>0</v>
      </c>
      <c r="K9" s="233" t="s">
        <v>9</v>
      </c>
      <c r="L9" s="8" t="s">
        <v>10</v>
      </c>
      <c r="M9" s="8" t="s">
        <v>11</v>
      </c>
      <c r="N9" s="233" t="s">
        <v>12</v>
      </c>
      <c r="O9" s="8" t="s">
        <v>13</v>
      </c>
      <c r="P9" s="233" t="s">
        <v>14</v>
      </c>
      <c r="Q9" s="8" t="s">
        <v>15</v>
      </c>
      <c r="R9" s="232" t="s">
        <v>16</v>
      </c>
    </row>
    <row r="10" spans="1:19" x14ac:dyDescent="0.25">
      <c r="A10" s="11" t="s">
        <v>54</v>
      </c>
      <c r="B10" s="288">
        <v>1214.99</v>
      </c>
      <c r="C10" s="289">
        <v>1226.23</v>
      </c>
      <c r="D10" s="288">
        <v>1283.3599999999999</v>
      </c>
      <c r="E10" s="289"/>
      <c r="F10" s="288">
        <v>1380.21</v>
      </c>
      <c r="G10" s="288">
        <v>1421.55</v>
      </c>
      <c r="H10" s="288">
        <v>1463.53</v>
      </c>
      <c r="I10" s="289">
        <v>1463.53</v>
      </c>
      <c r="J10" s="288">
        <v>1543.82</v>
      </c>
      <c r="K10" s="289">
        <v>1543.82</v>
      </c>
      <c r="L10" s="288">
        <v>1643.47</v>
      </c>
      <c r="M10" s="288">
        <v>1773.89</v>
      </c>
      <c r="N10" s="289">
        <v>1773.89</v>
      </c>
      <c r="O10" s="288">
        <v>1959.19</v>
      </c>
      <c r="P10" s="289">
        <v>1959.19</v>
      </c>
      <c r="Q10" s="288">
        <v>2237.4699999999998</v>
      </c>
      <c r="R10" s="290">
        <v>2237.4699999999998</v>
      </c>
      <c r="S10" s="1"/>
    </row>
    <row r="11" spans="1:19" x14ac:dyDescent="0.25">
      <c r="A11" s="11" t="s">
        <v>55</v>
      </c>
      <c r="B11" s="291">
        <v>34.86</v>
      </c>
      <c r="C11" s="292">
        <v>40.29</v>
      </c>
      <c r="D11" s="293">
        <v>48.81</v>
      </c>
      <c r="E11" s="292"/>
      <c r="F11" s="293">
        <v>55.77</v>
      </c>
      <c r="G11" s="293">
        <v>58.89</v>
      </c>
      <c r="H11" s="293">
        <v>61.98</v>
      </c>
      <c r="I11" s="292">
        <v>61.98</v>
      </c>
      <c r="J11" s="293">
        <v>69.72</v>
      </c>
      <c r="K11" s="292">
        <v>69.72</v>
      </c>
      <c r="L11" s="293">
        <v>80.58</v>
      </c>
      <c r="M11" s="293">
        <v>94.5</v>
      </c>
      <c r="N11" s="292">
        <v>94.5</v>
      </c>
      <c r="O11" s="293">
        <v>118.53</v>
      </c>
      <c r="P11" s="292">
        <v>118.53</v>
      </c>
      <c r="Q11" s="293">
        <v>139.44</v>
      </c>
      <c r="R11" s="294">
        <v>139.44</v>
      </c>
      <c r="S11" s="1"/>
    </row>
    <row r="12" spans="1:19" x14ac:dyDescent="0.25">
      <c r="A12" s="11" t="s">
        <v>56</v>
      </c>
      <c r="B12" s="291"/>
      <c r="C12" s="289"/>
      <c r="D12" s="288"/>
      <c r="E12" s="289"/>
      <c r="F12" s="288"/>
      <c r="G12" s="288"/>
      <c r="H12" s="288"/>
      <c r="I12" s="292">
        <v>61.97</v>
      </c>
      <c r="J12" s="288"/>
      <c r="K12" s="292">
        <v>154.94</v>
      </c>
      <c r="L12" s="288"/>
      <c r="M12" s="288"/>
      <c r="N12" s="292">
        <v>258.23</v>
      </c>
      <c r="O12" s="288"/>
      <c r="P12" s="292">
        <v>258.23</v>
      </c>
      <c r="Q12" s="288"/>
      <c r="R12" s="294">
        <v>232.41</v>
      </c>
      <c r="S12" s="1"/>
    </row>
    <row r="13" spans="1:19" x14ac:dyDescent="0.25">
      <c r="A13" s="11" t="s">
        <v>57</v>
      </c>
      <c r="B13" s="291"/>
      <c r="C13" s="289"/>
      <c r="D13" s="288"/>
      <c r="E13" s="292"/>
      <c r="F13" s="288"/>
      <c r="G13" s="288"/>
      <c r="H13" s="288"/>
      <c r="I13" s="289"/>
      <c r="J13" s="288"/>
      <c r="K13" s="289"/>
      <c r="L13" s="288"/>
      <c r="M13" s="293">
        <v>77.47</v>
      </c>
      <c r="N13" s="289"/>
      <c r="O13" s="293">
        <v>154.94</v>
      </c>
      <c r="P13" s="289"/>
      <c r="Q13" s="293">
        <v>232.41</v>
      </c>
      <c r="R13" s="290"/>
      <c r="S13" s="1"/>
    </row>
    <row r="14" spans="1:19" x14ac:dyDescent="0.25">
      <c r="A14" s="11" t="s">
        <v>58</v>
      </c>
      <c r="B14" s="291">
        <v>30.98</v>
      </c>
      <c r="C14" s="292">
        <v>31.27</v>
      </c>
      <c r="D14" s="293">
        <v>32.729999999999997</v>
      </c>
      <c r="E14" s="292"/>
      <c r="F14" s="293">
        <v>35.200000000000003</v>
      </c>
      <c r="G14" s="293">
        <v>36.25</v>
      </c>
      <c r="H14" s="293">
        <v>37.32</v>
      </c>
      <c r="I14" s="292">
        <v>37.32</v>
      </c>
      <c r="J14" s="293">
        <v>39.369999999999997</v>
      </c>
      <c r="K14" s="292">
        <v>39.369999999999997</v>
      </c>
      <c r="L14" s="293">
        <v>41.91</v>
      </c>
      <c r="M14" s="293">
        <v>45.23</v>
      </c>
      <c r="N14" s="292">
        <v>45.23</v>
      </c>
      <c r="O14" s="293">
        <v>49.96</v>
      </c>
      <c r="P14" s="292">
        <v>49.96</v>
      </c>
      <c r="Q14" s="293">
        <v>57.06</v>
      </c>
      <c r="R14" s="294">
        <v>57.06</v>
      </c>
      <c r="S14" s="1"/>
    </row>
    <row r="15" spans="1:19" x14ac:dyDescent="0.25">
      <c r="B15" s="19"/>
      <c r="C15" s="295"/>
      <c r="D15" s="22"/>
      <c r="F15" s="22"/>
      <c r="G15" s="22"/>
      <c r="H15" s="22"/>
      <c r="I15" s="1"/>
      <c r="J15" s="22"/>
      <c r="K15" s="1"/>
      <c r="L15" s="22"/>
      <c r="M15" s="22"/>
      <c r="N15" s="1"/>
      <c r="O15" s="22"/>
      <c r="P15" s="1"/>
      <c r="Q15" s="22"/>
      <c r="R15" s="1"/>
    </row>
    <row r="16" spans="1:19" x14ac:dyDescent="0.25">
      <c r="A16" s="11" t="s">
        <v>59</v>
      </c>
      <c r="B16" s="12">
        <f>+SUM(B10:B14)</f>
        <v>1280.83</v>
      </c>
      <c r="C16" s="13">
        <f t="shared" ref="C16:R16" si="0">+SUM(C10:C14)</f>
        <v>1297.79</v>
      </c>
      <c r="D16" s="12">
        <f t="shared" si="0"/>
        <v>1364.8999999999999</v>
      </c>
      <c r="E16" s="13">
        <f t="shared" si="0"/>
        <v>0</v>
      </c>
      <c r="F16" s="12">
        <f t="shared" si="0"/>
        <v>1471.18</v>
      </c>
      <c r="G16" s="12">
        <f t="shared" si="0"/>
        <v>1516.69</v>
      </c>
      <c r="H16" s="12">
        <f t="shared" si="0"/>
        <v>1562.83</v>
      </c>
      <c r="I16" s="13">
        <f t="shared" si="0"/>
        <v>1624.8</v>
      </c>
      <c r="J16" s="12">
        <f t="shared" si="0"/>
        <v>1652.9099999999999</v>
      </c>
      <c r="K16" s="13">
        <f t="shared" si="0"/>
        <v>1807.85</v>
      </c>
      <c r="L16" s="12">
        <f t="shared" si="0"/>
        <v>1765.96</v>
      </c>
      <c r="M16" s="12">
        <f t="shared" si="0"/>
        <v>1991.0900000000001</v>
      </c>
      <c r="N16" s="13">
        <f t="shared" si="0"/>
        <v>2171.85</v>
      </c>
      <c r="O16" s="12">
        <f t="shared" si="0"/>
        <v>2282.6200000000003</v>
      </c>
      <c r="P16" s="13">
        <f t="shared" si="0"/>
        <v>2385.9100000000003</v>
      </c>
      <c r="Q16" s="12">
        <f t="shared" si="0"/>
        <v>2666.3799999999997</v>
      </c>
      <c r="R16" s="14">
        <f t="shared" si="0"/>
        <v>2666.3799999999997</v>
      </c>
    </row>
    <row r="17" spans="1:18" x14ac:dyDescent="0.25">
      <c r="A17" s="11" t="s">
        <v>60</v>
      </c>
      <c r="B17" s="12">
        <f>+B16*13</f>
        <v>16650.79</v>
      </c>
      <c r="C17" s="13">
        <f t="shared" ref="C17:R17" si="1">+C16*13</f>
        <v>16871.27</v>
      </c>
      <c r="D17" s="12">
        <f t="shared" si="1"/>
        <v>17743.699999999997</v>
      </c>
      <c r="E17" s="13">
        <f t="shared" si="1"/>
        <v>0</v>
      </c>
      <c r="F17" s="12">
        <f t="shared" si="1"/>
        <v>19125.34</v>
      </c>
      <c r="G17" s="12">
        <f t="shared" si="1"/>
        <v>19716.97</v>
      </c>
      <c r="H17" s="12">
        <f t="shared" si="1"/>
        <v>20316.79</v>
      </c>
      <c r="I17" s="13">
        <f t="shared" si="1"/>
        <v>21122.399999999998</v>
      </c>
      <c r="J17" s="12">
        <f t="shared" si="1"/>
        <v>21487.829999999998</v>
      </c>
      <c r="K17" s="13">
        <f t="shared" si="1"/>
        <v>23502.05</v>
      </c>
      <c r="L17" s="12">
        <f t="shared" si="1"/>
        <v>22957.48</v>
      </c>
      <c r="M17" s="12">
        <f t="shared" si="1"/>
        <v>25884.170000000002</v>
      </c>
      <c r="N17" s="13">
        <f t="shared" si="1"/>
        <v>28234.05</v>
      </c>
      <c r="O17" s="12">
        <f t="shared" si="1"/>
        <v>29674.060000000005</v>
      </c>
      <c r="P17" s="13">
        <f t="shared" si="1"/>
        <v>31016.830000000005</v>
      </c>
      <c r="Q17" s="12">
        <f t="shared" si="1"/>
        <v>34662.939999999995</v>
      </c>
      <c r="R17" s="14">
        <f t="shared" si="1"/>
        <v>34662.939999999995</v>
      </c>
    </row>
    <row r="18" spans="1:18" x14ac:dyDescent="0.25">
      <c r="B18" s="22"/>
      <c r="D18" s="21"/>
      <c r="F18" s="21"/>
      <c r="G18" s="21"/>
      <c r="H18" s="21"/>
      <c r="J18" s="21"/>
      <c r="L18" s="21"/>
      <c r="M18" s="21"/>
      <c r="O18" s="21"/>
      <c r="Q18" s="21"/>
    </row>
    <row r="19" spans="1:18" x14ac:dyDescent="0.25">
      <c r="A19" s="11" t="s">
        <v>61</v>
      </c>
      <c r="B19" s="12"/>
      <c r="C19" s="23"/>
      <c r="D19" s="24"/>
      <c r="E19" s="23"/>
      <c r="F19" s="24"/>
      <c r="G19" s="24"/>
      <c r="H19" s="24"/>
      <c r="I19" s="23"/>
      <c r="J19" s="24"/>
      <c r="K19" s="23"/>
      <c r="L19" s="24"/>
      <c r="M19" s="24"/>
      <c r="N19" s="23"/>
      <c r="O19" s="24"/>
      <c r="P19" s="23"/>
      <c r="Q19" s="24"/>
      <c r="R19" s="25"/>
    </row>
    <row r="20" spans="1:18" x14ac:dyDescent="0.25">
      <c r="A20" s="11" t="s">
        <v>315</v>
      </c>
      <c r="B20" s="15">
        <f>+B17*0.2733</f>
        <v>4550.6609070000004</v>
      </c>
      <c r="C20" s="26">
        <f t="shared" ref="C20:R20" si="2">+C17*0.2733</f>
        <v>4610.9180909999995</v>
      </c>
      <c r="D20" s="15">
        <f t="shared" si="2"/>
        <v>4849.3532099999993</v>
      </c>
      <c r="E20" s="26"/>
      <c r="F20" s="15">
        <f t="shared" si="2"/>
        <v>5226.955422</v>
      </c>
      <c r="G20" s="15">
        <f t="shared" si="2"/>
        <v>5388.6479010000003</v>
      </c>
      <c r="H20" s="15">
        <f t="shared" si="2"/>
        <v>5552.5787069999997</v>
      </c>
      <c r="I20" s="26">
        <f t="shared" si="2"/>
        <v>5772.7519199999988</v>
      </c>
      <c r="J20" s="15">
        <f t="shared" si="2"/>
        <v>5872.6239389999992</v>
      </c>
      <c r="K20" s="26">
        <f t="shared" si="2"/>
        <v>6423.1102649999993</v>
      </c>
      <c r="L20" s="15">
        <f t="shared" si="2"/>
        <v>6274.2792839999993</v>
      </c>
      <c r="M20" s="15">
        <f t="shared" si="2"/>
        <v>7074.1436610000001</v>
      </c>
      <c r="N20" s="26">
        <f t="shared" si="2"/>
        <v>7716.3658649999998</v>
      </c>
      <c r="O20" s="15">
        <f t="shared" si="2"/>
        <v>8109.9205980000006</v>
      </c>
      <c r="P20" s="26">
        <f t="shared" si="2"/>
        <v>8476.8996390000011</v>
      </c>
      <c r="Q20" s="15">
        <f t="shared" si="2"/>
        <v>9473.3815019999984</v>
      </c>
      <c r="R20" s="27">
        <f t="shared" si="2"/>
        <v>9473.3815019999984</v>
      </c>
    </row>
    <row r="21" spans="1:18" x14ac:dyDescent="0.25">
      <c r="A21" s="11" t="s">
        <v>63</v>
      </c>
      <c r="B21" s="15">
        <f>+B17*0.03</f>
        <v>499.52370000000002</v>
      </c>
      <c r="C21" s="26">
        <f t="shared" ref="C21:R21" si="3">+C17*0.03</f>
        <v>506.13810000000001</v>
      </c>
      <c r="D21" s="15">
        <f t="shared" si="3"/>
        <v>532.31099999999992</v>
      </c>
      <c r="E21" s="26"/>
      <c r="F21" s="15">
        <f t="shared" si="3"/>
        <v>573.76019999999994</v>
      </c>
      <c r="G21" s="15">
        <f t="shared" si="3"/>
        <v>591.50909999999999</v>
      </c>
      <c r="H21" s="15">
        <f t="shared" si="3"/>
        <v>609.50369999999998</v>
      </c>
      <c r="I21" s="26">
        <f t="shared" si="3"/>
        <v>633.67199999999991</v>
      </c>
      <c r="J21" s="15">
        <f t="shared" si="3"/>
        <v>644.6348999999999</v>
      </c>
      <c r="K21" s="26">
        <f t="shared" si="3"/>
        <v>705.06149999999991</v>
      </c>
      <c r="L21" s="15">
        <f t="shared" si="3"/>
        <v>688.72439999999995</v>
      </c>
      <c r="M21" s="15">
        <f t="shared" si="3"/>
        <v>776.52510000000007</v>
      </c>
      <c r="N21" s="26">
        <f t="shared" si="3"/>
        <v>847.02149999999995</v>
      </c>
      <c r="O21" s="15">
        <f t="shared" si="3"/>
        <v>890.22180000000014</v>
      </c>
      <c r="P21" s="26">
        <f t="shared" si="3"/>
        <v>930.50490000000013</v>
      </c>
      <c r="Q21" s="15">
        <f t="shared" si="3"/>
        <v>1039.8881999999999</v>
      </c>
      <c r="R21" s="27">
        <f t="shared" si="3"/>
        <v>1039.8881999999999</v>
      </c>
    </row>
    <row r="22" spans="1:18" x14ac:dyDescent="0.25">
      <c r="A22" s="11" t="s">
        <v>64</v>
      </c>
      <c r="B22" s="12">
        <f>+B21+B20</f>
        <v>5050.1846070000001</v>
      </c>
      <c r="C22" s="13">
        <f t="shared" ref="C22:R22" si="4">+C21+C20</f>
        <v>5117.0561909999997</v>
      </c>
      <c r="D22" s="12">
        <f t="shared" si="4"/>
        <v>5381.664209999999</v>
      </c>
      <c r="E22" s="13"/>
      <c r="F22" s="12">
        <f t="shared" si="4"/>
        <v>5800.7156219999997</v>
      </c>
      <c r="G22" s="12">
        <f t="shared" si="4"/>
        <v>5980.1570010000005</v>
      </c>
      <c r="H22" s="12">
        <f t="shared" si="4"/>
        <v>6162.0824069999999</v>
      </c>
      <c r="I22" s="13">
        <f t="shared" si="4"/>
        <v>6406.4239199999984</v>
      </c>
      <c r="J22" s="12">
        <f t="shared" si="4"/>
        <v>6517.2588389999992</v>
      </c>
      <c r="K22" s="13">
        <f t="shared" si="4"/>
        <v>7128.1717649999991</v>
      </c>
      <c r="L22" s="12">
        <f t="shared" si="4"/>
        <v>6963.0036839999993</v>
      </c>
      <c r="M22" s="12">
        <f t="shared" si="4"/>
        <v>7850.6687609999999</v>
      </c>
      <c r="N22" s="13">
        <f t="shared" si="4"/>
        <v>8563.3873650000005</v>
      </c>
      <c r="O22" s="12">
        <f t="shared" si="4"/>
        <v>9000.142398</v>
      </c>
      <c r="P22" s="13">
        <f t="shared" si="4"/>
        <v>9407.404539000001</v>
      </c>
      <c r="Q22" s="12">
        <f t="shared" si="4"/>
        <v>10513.269701999998</v>
      </c>
      <c r="R22" s="14">
        <f t="shared" si="4"/>
        <v>10513.269701999998</v>
      </c>
    </row>
    <row r="23" spans="1:18" x14ac:dyDescent="0.25">
      <c r="B23" s="22"/>
      <c r="D23" s="21"/>
      <c r="F23" s="21"/>
      <c r="G23" s="21"/>
      <c r="H23" s="21"/>
      <c r="J23" s="21"/>
      <c r="L23" s="21"/>
      <c r="M23" s="21"/>
      <c r="O23" s="21"/>
      <c r="Q23" s="21"/>
    </row>
    <row r="24" spans="1:18" x14ac:dyDescent="0.25">
      <c r="A24" t="s">
        <v>316</v>
      </c>
      <c r="B24" s="22">
        <v>200</v>
      </c>
      <c r="C24">
        <v>200</v>
      </c>
      <c r="D24" s="21">
        <v>200</v>
      </c>
      <c r="F24" s="21">
        <v>200</v>
      </c>
      <c r="G24" s="21">
        <v>200</v>
      </c>
      <c r="H24" s="21">
        <v>200</v>
      </c>
      <c r="I24">
        <v>200</v>
      </c>
      <c r="J24" s="21">
        <v>200</v>
      </c>
      <c r="K24">
        <v>200</v>
      </c>
      <c r="L24" s="21">
        <v>200</v>
      </c>
      <c r="M24" s="21">
        <v>200</v>
      </c>
      <c r="N24">
        <v>200</v>
      </c>
      <c r="O24" s="21">
        <v>200</v>
      </c>
      <c r="P24">
        <v>200</v>
      </c>
      <c r="Q24" s="21">
        <v>200</v>
      </c>
      <c r="R24">
        <v>200</v>
      </c>
    </row>
    <row r="25" spans="1:18" x14ac:dyDescent="0.25">
      <c r="A25" s="11" t="s">
        <v>65</v>
      </c>
      <c r="B25" s="12">
        <f>+B16*0.962962</f>
        <v>1233.3906184599998</v>
      </c>
      <c r="C25" s="13">
        <f t="shared" ref="C25:R25" si="5">+C16*0.962962</f>
        <v>1249.72245398</v>
      </c>
      <c r="D25" s="12">
        <f t="shared" si="5"/>
        <v>1314.3468337999998</v>
      </c>
      <c r="E25" s="13"/>
      <c r="F25" s="12">
        <f t="shared" si="5"/>
        <v>1416.6904351600001</v>
      </c>
      <c r="G25" s="12">
        <f t="shared" si="5"/>
        <v>1460.5148357800001</v>
      </c>
      <c r="H25" s="12">
        <f t="shared" si="5"/>
        <v>1504.9459024599998</v>
      </c>
      <c r="I25" s="13">
        <f t="shared" si="5"/>
        <v>1564.6206576</v>
      </c>
      <c r="J25" s="12">
        <f t="shared" si="5"/>
        <v>1591.6895194199999</v>
      </c>
      <c r="K25" s="13">
        <f t="shared" si="5"/>
        <v>1740.8908517</v>
      </c>
      <c r="L25" s="12">
        <f t="shared" si="5"/>
        <v>1700.5523735199999</v>
      </c>
      <c r="M25" s="12">
        <f t="shared" si="5"/>
        <v>1917.34400858</v>
      </c>
      <c r="N25" s="13">
        <f t="shared" si="5"/>
        <v>2091.4090197</v>
      </c>
      <c r="O25" s="12">
        <f t="shared" si="5"/>
        <v>2198.0763204400005</v>
      </c>
      <c r="P25" s="13">
        <f t="shared" si="5"/>
        <v>2297.5406654200001</v>
      </c>
      <c r="Q25" s="12">
        <f t="shared" si="5"/>
        <v>2567.6226175599995</v>
      </c>
      <c r="R25" s="14">
        <f t="shared" si="5"/>
        <v>2567.6226175599995</v>
      </c>
    </row>
    <row r="26" spans="1:18" x14ac:dyDescent="0.25">
      <c r="A26" s="11" t="s">
        <v>317</v>
      </c>
      <c r="B26" s="15">
        <f>+B25*0.022418*6</f>
        <v>165.90090530781765</v>
      </c>
      <c r="C26" s="26">
        <f t="shared" ref="C26:R26" si="6">+C25*0.022418*6</f>
        <v>168.09766783994183</v>
      </c>
      <c r="D26" s="15">
        <f t="shared" si="6"/>
        <v>176.79016392077037</v>
      </c>
      <c r="E26" s="26"/>
      <c r="F26" s="15">
        <f t="shared" si="6"/>
        <v>190.55619705250129</v>
      </c>
      <c r="G26" s="15">
        <f t="shared" si="6"/>
        <v>196.45092953109628</v>
      </c>
      <c r="H26" s="15">
        <f t="shared" si="6"/>
        <v>202.42726344808966</v>
      </c>
      <c r="I26" s="26">
        <f t="shared" si="6"/>
        <v>210.45399541246081</v>
      </c>
      <c r="J26" s="15">
        <f t="shared" si="6"/>
        <v>214.09497387814537</v>
      </c>
      <c r="K26" s="26">
        <f t="shared" si="6"/>
        <v>234.16374668046359</v>
      </c>
      <c r="L26" s="15">
        <f t="shared" si="6"/>
        <v>228.73789865742816</v>
      </c>
      <c r="M26" s="15">
        <f t="shared" si="6"/>
        <v>257.89810790607862</v>
      </c>
      <c r="N26" s="26">
        <f t="shared" si="6"/>
        <v>281.3112444218076</v>
      </c>
      <c r="O26" s="15">
        <f t="shared" si="6"/>
        <v>295.65884970974361</v>
      </c>
      <c r="P26" s="26">
        <f t="shared" si="6"/>
        <v>309.03759982431336</v>
      </c>
      <c r="Q26" s="15">
        <f t="shared" si="6"/>
        <v>345.36578304276043</v>
      </c>
      <c r="R26" s="27">
        <f t="shared" si="6"/>
        <v>345.36578304276043</v>
      </c>
    </row>
    <row r="27" spans="1:18" x14ac:dyDescent="0.25">
      <c r="A27" s="11" t="s">
        <v>318</v>
      </c>
      <c r="B27" s="15">
        <f>+B17*0.015</f>
        <v>249.76185000000001</v>
      </c>
      <c r="C27" s="26">
        <f t="shared" ref="C27:R27" si="7">+C17*0.015</f>
        <v>253.06905</v>
      </c>
      <c r="D27" s="15">
        <f t="shared" si="7"/>
        <v>266.15549999999996</v>
      </c>
      <c r="E27" s="26"/>
      <c r="F27" s="15">
        <f t="shared" si="7"/>
        <v>286.88009999999997</v>
      </c>
      <c r="G27" s="15">
        <f t="shared" si="7"/>
        <v>295.75454999999999</v>
      </c>
      <c r="H27" s="15">
        <f t="shared" si="7"/>
        <v>304.75184999999999</v>
      </c>
      <c r="I27" s="26">
        <f t="shared" si="7"/>
        <v>316.83599999999996</v>
      </c>
      <c r="J27" s="15">
        <f t="shared" si="7"/>
        <v>322.31744999999995</v>
      </c>
      <c r="K27" s="26">
        <f t="shared" si="7"/>
        <v>352.53074999999995</v>
      </c>
      <c r="L27" s="15">
        <f t="shared" si="7"/>
        <v>344.36219999999997</v>
      </c>
      <c r="M27" s="15">
        <f t="shared" si="7"/>
        <v>388.26255000000003</v>
      </c>
      <c r="N27" s="26">
        <f t="shared" si="7"/>
        <v>423.51074999999997</v>
      </c>
      <c r="O27" s="15">
        <f t="shared" si="7"/>
        <v>445.11090000000007</v>
      </c>
      <c r="P27" s="26">
        <f t="shared" si="7"/>
        <v>465.25245000000007</v>
      </c>
      <c r="Q27" s="15">
        <f t="shared" si="7"/>
        <v>519.94409999999993</v>
      </c>
      <c r="R27" s="27">
        <f t="shared" si="7"/>
        <v>519.94409999999993</v>
      </c>
    </row>
    <row r="28" spans="1:18" x14ac:dyDescent="0.25">
      <c r="A28" s="11" t="s">
        <v>68</v>
      </c>
      <c r="B28" s="28">
        <v>66</v>
      </c>
      <c r="C28" s="29">
        <v>66</v>
      </c>
      <c r="D28" s="28">
        <v>66</v>
      </c>
      <c r="E28" s="29"/>
      <c r="F28" s="28">
        <v>66</v>
      </c>
      <c r="G28" s="28">
        <v>66</v>
      </c>
      <c r="H28" s="28">
        <v>66</v>
      </c>
      <c r="I28" s="29">
        <v>66</v>
      </c>
      <c r="J28" s="28">
        <v>66</v>
      </c>
      <c r="K28" s="29">
        <v>66</v>
      </c>
      <c r="L28" s="28">
        <v>66</v>
      </c>
      <c r="M28" s="28">
        <v>66</v>
      </c>
      <c r="N28" s="29">
        <v>66</v>
      </c>
      <c r="O28" s="28">
        <v>66</v>
      </c>
      <c r="P28" s="29">
        <v>66</v>
      </c>
      <c r="Q28" s="28">
        <v>66</v>
      </c>
      <c r="R28" s="30">
        <v>66</v>
      </c>
    </row>
    <row r="29" spans="1:18" x14ac:dyDescent="0.25">
      <c r="B29" s="22"/>
      <c r="D29" s="21"/>
      <c r="F29" s="21"/>
      <c r="G29" s="21"/>
      <c r="H29" s="21"/>
      <c r="J29" s="21"/>
      <c r="L29" s="21"/>
      <c r="M29" s="21"/>
      <c r="O29" s="21"/>
      <c r="Q29" s="21"/>
    </row>
    <row r="30" spans="1:18" x14ac:dyDescent="0.25">
      <c r="A30" s="11" t="s">
        <v>69</v>
      </c>
      <c r="B30" s="12">
        <f>+B17+B22+B25+B26+B27+B28+B24</f>
        <v>23616.027980767816</v>
      </c>
      <c r="C30" s="13">
        <f t="shared" ref="C30:R30" si="8">+C17+C22+C25+C26+C27+C28+C24</f>
        <v>23925.215362819941</v>
      </c>
      <c r="D30" s="12">
        <f t="shared" si="8"/>
        <v>25148.656707720766</v>
      </c>
      <c r="E30" s="13"/>
      <c r="F30" s="12">
        <f t="shared" si="8"/>
        <v>27086.182354212498</v>
      </c>
      <c r="G30" s="12">
        <f t="shared" si="8"/>
        <v>27915.847316311098</v>
      </c>
      <c r="H30" s="12">
        <f t="shared" si="8"/>
        <v>28756.997422908094</v>
      </c>
      <c r="I30" s="13">
        <f t="shared" si="8"/>
        <v>29886.734573012454</v>
      </c>
      <c r="J30" s="12">
        <f t="shared" si="8"/>
        <v>30399.190782298141</v>
      </c>
      <c r="K30" s="13">
        <f t="shared" si="8"/>
        <v>33223.807113380462</v>
      </c>
      <c r="L30" s="12">
        <f t="shared" si="8"/>
        <v>32460.136156177428</v>
      </c>
      <c r="M30" s="12">
        <f t="shared" si="8"/>
        <v>36564.343427486077</v>
      </c>
      <c r="N30" s="13">
        <f t="shared" si="8"/>
        <v>39859.668379121802</v>
      </c>
      <c r="O30" s="12">
        <f t="shared" si="8"/>
        <v>41879.048468149747</v>
      </c>
      <c r="P30" s="13">
        <f t="shared" si="8"/>
        <v>43762.065254244313</v>
      </c>
      <c r="Q30" s="12">
        <f t="shared" si="8"/>
        <v>48875.142202602758</v>
      </c>
      <c r="R30" s="14">
        <f t="shared" si="8"/>
        <v>48875.142202602758</v>
      </c>
    </row>
    <row r="31" spans="1:18" x14ac:dyDescent="0.25">
      <c r="A31" s="11" t="s">
        <v>51</v>
      </c>
      <c r="B31" s="12">
        <f>+IF($B$5="Si",B56,0)</f>
        <v>0</v>
      </c>
      <c r="C31" s="13">
        <f t="shared" ref="C31:R31" si="9">+IF($B$5="Si",C56,0)</f>
        <v>0</v>
      </c>
      <c r="D31" s="12">
        <f t="shared" si="9"/>
        <v>0</v>
      </c>
      <c r="E31" s="13"/>
      <c r="F31" s="12">
        <f t="shared" si="9"/>
        <v>0</v>
      </c>
      <c r="G31" s="12">
        <f t="shared" si="9"/>
        <v>0</v>
      </c>
      <c r="H31" s="12">
        <f t="shared" si="9"/>
        <v>0</v>
      </c>
      <c r="I31" s="13">
        <f t="shared" si="9"/>
        <v>0</v>
      </c>
      <c r="J31" s="12">
        <f t="shared" si="9"/>
        <v>0</v>
      </c>
      <c r="K31" s="13">
        <f t="shared" si="9"/>
        <v>0</v>
      </c>
      <c r="L31" s="12">
        <f t="shared" si="9"/>
        <v>0</v>
      </c>
      <c r="M31" s="12">
        <f t="shared" si="9"/>
        <v>0</v>
      </c>
      <c r="N31" s="13">
        <f t="shared" si="9"/>
        <v>0</v>
      </c>
      <c r="O31" s="12">
        <f t="shared" si="9"/>
        <v>0</v>
      </c>
      <c r="P31" s="13">
        <f t="shared" si="9"/>
        <v>0</v>
      </c>
      <c r="Q31" s="12">
        <f t="shared" si="9"/>
        <v>0</v>
      </c>
      <c r="R31" s="14">
        <f t="shared" si="9"/>
        <v>0</v>
      </c>
    </row>
    <row r="32" spans="1:18" x14ac:dyDescent="0.25">
      <c r="B32" s="22"/>
      <c r="C32" s="1"/>
      <c r="D32" s="22"/>
      <c r="E32" s="1"/>
      <c r="F32" s="22"/>
      <c r="G32" s="22"/>
      <c r="H32" s="22"/>
      <c r="I32" s="1"/>
      <c r="J32" s="22"/>
      <c r="K32" s="1"/>
      <c r="L32" s="22"/>
      <c r="M32" s="22"/>
      <c r="N32" s="1"/>
      <c r="O32" s="22"/>
      <c r="P32" s="1"/>
      <c r="Q32" s="22"/>
      <c r="R32" s="1"/>
    </row>
    <row r="33" spans="1:18" x14ac:dyDescent="0.25">
      <c r="A33" s="296" t="s">
        <v>70</v>
      </c>
      <c r="B33" s="297">
        <f>+B31+B30</f>
        <v>23616.027980767816</v>
      </c>
      <c r="C33" s="298">
        <f t="shared" ref="C33:R33" si="10">+C31+C30</f>
        <v>23925.215362819941</v>
      </c>
      <c r="D33" s="297">
        <f t="shared" si="10"/>
        <v>25148.656707720766</v>
      </c>
      <c r="E33" s="298"/>
      <c r="F33" s="297">
        <f t="shared" si="10"/>
        <v>27086.182354212498</v>
      </c>
      <c r="G33" s="297">
        <f t="shared" si="10"/>
        <v>27915.847316311098</v>
      </c>
      <c r="H33" s="297">
        <f t="shared" si="10"/>
        <v>28756.997422908094</v>
      </c>
      <c r="I33" s="298">
        <f t="shared" si="10"/>
        <v>29886.734573012454</v>
      </c>
      <c r="J33" s="297">
        <f t="shared" si="10"/>
        <v>30399.190782298141</v>
      </c>
      <c r="K33" s="298">
        <f t="shared" si="10"/>
        <v>33223.807113380462</v>
      </c>
      <c r="L33" s="297">
        <f t="shared" si="10"/>
        <v>32460.136156177428</v>
      </c>
      <c r="M33" s="297">
        <f t="shared" si="10"/>
        <v>36564.343427486077</v>
      </c>
      <c r="N33" s="298">
        <f t="shared" si="10"/>
        <v>39859.668379121802</v>
      </c>
      <c r="O33" s="297">
        <f t="shared" si="10"/>
        <v>41879.048468149747</v>
      </c>
      <c r="P33" s="298">
        <f t="shared" si="10"/>
        <v>43762.065254244313</v>
      </c>
      <c r="Q33" s="297">
        <f t="shared" si="10"/>
        <v>48875.142202602758</v>
      </c>
      <c r="R33" s="299">
        <f t="shared" si="10"/>
        <v>48875.142202602758</v>
      </c>
    </row>
    <row r="34" spans="1:18" x14ac:dyDescent="0.25">
      <c r="B34" s="22"/>
      <c r="C34" s="1"/>
      <c r="D34" s="22"/>
      <c r="E34" s="1"/>
      <c r="F34" s="22"/>
      <c r="G34" s="22"/>
      <c r="H34" s="22"/>
      <c r="I34" s="1"/>
      <c r="J34" s="22"/>
      <c r="K34" s="1"/>
      <c r="L34" s="22"/>
      <c r="M34" s="22"/>
      <c r="N34" s="1"/>
      <c r="O34" s="22"/>
      <c r="P34" s="1"/>
      <c r="Q34" s="22"/>
      <c r="R34" s="1"/>
    </row>
    <row r="35" spans="1:18" x14ac:dyDescent="0.25">
      <c r="A35" s="11" t="s">
        <v>20</v>
      </c>
      <c r="B35" s="12">
        <f>+ROUND(B33/$B$6,2)</f>
        <v>15.26</v>
      </c>
      <c r="C35" s="13">
        <f t="shared" ref="C35:R35" si="11">+ROUND(C33/$B$6,2)</f>
        <v>15.46</v>
      </c>
      <c r="D35" s="12">
        <f t="shared" si="11"/>
        <v>16.25</v>
      </c>
      <c r="E35" s="13"/>
      <c r="F35" s="12">
        <f t="shared" si="11"/>
        <v>17.5</v>
      </c>
      <c r="G35" s="12">
        <f t="shared" si="11"/>
        <v>18.03</v>
      </c>
      <c r="H35" s="12">
        <f t="shared" si="11"/>
        <v>18.579999999999998</v>
      </c>
      <c r="I35" s="13">
        <f t="shared" si="11"/>
        <v>19.309999999999999</v>
      </c>
      <c r="J35" s="12">
        <f t="shared" si="11"/>
        <v>19.64</v>
      </c>
      <c r="K35" s="13">
        <f t="shared" si="11"/>
        <v>21.46</v>
      </c>
      <c r="L35" s="12">
        <f t="shared" si="11"/>
        <v>20.97</v>
      </c>
      <c r="M35" s="12">
        <f t="shared" si="11"/>
        <v>23.62</v>
      </c>
      <c r="N35" s="13">
        <f t="shared" si="11"/>
        <v>25.75</v>
      </c>
      <c r="O35" s="12">
        <f t="shared" si="11"/>
        <v>27.05</v>
      </c>
      <c r="P35" s="13">
        <f t="shared" si="11"/>
        <v>28.27</v>
      </c>
      <c r="Q35" s="12">
        <f t="shared" si="11"/>
        <v>31.57</v>
      </c>
      <c r="R35" s="14">
        <f t="shared" si="11"/>
        <v>31.57</v>
      </c>
    </row>
    <row r="36" spans="1:18" x14ac:dyDescent="0.25">
      <c r="A36" s="11" t="s">
        <v>120</v>
      </c>
      <c r="B36" s="12">
        <f>+B33-B21-B27-B24</f>
        <v>22666.742430767816</v>
      </c>
      <c r="C36" s="13">
        <f t="shared" ref="C36:R36" si="12">+C33-C21-C27-C24</f>
        <v>22966.008212819943</v>
      </c>
      <c r="D36" s="12">
        <f t="shared" si="12"/>
        <v>24150.190207720763</v>
      </c>
      <c r="E36" s="13">
        <f t="shared" si="12"/>
        <v>0</v>
      </c>
      <c r="F36" s="12">
        <f t="shared" si="12"/>
        <v>26025.542054212499</v>
      </c>
      <c r="G36" s="12">
        <f t="shared" si="12"/>
        <v>26828.583666311097</v>
      </c>
      <c r="H36" s="12">
        <f t="shared" si="12"/>
        <v>27642.741872908093</v>
      </c>
      <c r="I36" s="13">
        <f t="shared" si="12"/>
        <v>28736.226573012456</v>
      </c>
      <c r="J36" s="12">
        <f t="shared" si="12"/>
        <v>29232.238432298142</v>
      </c>
      <c r="K36" s="13">
        <f t="shared" si="12"/>
        <v>31966.214863380461</v>
      </c>
      <c r="L36" s="12">
        <f t="shared" si="12"/>
        <v>31227.04955617743</v>
      </c>
      <c r="M36" s="12">
        <f t="shared" si="12"/>
        <v>35199.555777486079</v>
      </c>
      <c r="N36" s="13">
        <f t="shared" si="12"/>
        <v>38389.136129121798</v>
      </c>
      <c r="O36" s="12">
        <f t="shared" si="12"/>
        <v>40343.715768149748</v>
      </c>
      <c r="P36" s="13">
        <f t="shared" si="12"/>
        <v>42166.307904244313</v>
      </c>
      <c r="Q36" s="12">
        <f t="shared" si="12"/>
        <v>47115.309902602756</v>
      </c>
      <c r="R36" s="14">
        <f t="shared" si="12"/>
        <v>47115.309902602756</v>
      </c>
    </row>
    <row r="37" spans="1:18" x14ac:dyDescent="0.25">
      <c r="A37" s="11" t="s">
        <v>121</v>
      </c>
      <c r="B37" s="12">
        <f>+ROUND(B36/$B$6,2)</f>
        <v>14.64</v>
      </c>
      <c r="C37" s="13">
        <f t="shared" ref="C37:R37" si="13">+ROUND(C36/$B$6,2)</f>
        <v>14.84</v>
      </c>
      <c r="D37" s="12">
        <f t="shared" si="13"/>
        <v>15.6</v>
      </c>
      <c r="E37" s="13"/>
      <c r="F37" s="12">
        <f t="shared" si="13"/>
        <v>16.809999999999999</v>
      </c>
      <c r="G37" s="12">
        <f t="shared" si="13"/>
        <v>17.329999999999998</v>
      </c>
      <c r="H37" s="12">
        <f t="shared" si="13"/>
        <v>17.86</v>
      </c>
      <c r="I37" s="13">
        <f t="shared" si="13"/>
        <v>18.559999999999999</v>
      </c>
      <c r="J37" s="12">
        <f t="shared" si="13"/>
        <v>18.88</v>
      </c>
      <c r="K37" s="13">
        <f t="shared" si="13"/>
        <v>20.65</v>
      </c>
      <c r="L37" s="12">
        <f t="shared" si="13"/>
        <v>20.170000000000002</v>
      </c>
      <c r="M37" s="12">
        <f t="shared" si="13"/>
        <v>22.74</v>
      </c>
      <c r="N37" s="13">
        <f t="shared" si="13"/>
        <v>24.8</v>
      </c>
      <c r="O37" s="12">
        <f t="shared" si="13"/>
        <v>26.06</v>
      </c>
      <c r="P37" s="13">
        <f t="shared" si="13"/>
        <v>27.24</v>
      </c>
      <c r="Q37" s="12">
        <f t="shared" si="13"/>
        <v>30.44</v>
      </c>
      <c r="R37" s="14">
        <f t="shared" si="13"/>
        <v>30.44</v>
      </c>
    </row>
    <row r="38" spans="1:18" x14ac:dyDescent="0.25">
      <c r="A38" s="11" t="s">
        <v>319</v>
      </c>
      <c r="B38" s="12">
        <f>+B37*0.039</f>
        <v>0.57096000000000002</v>
      </c>
      <c r="C38" s="13">
        <f t="shared" ref="C38:R38" si="14">+C37*0.039</f>
        <v>0.57875999999999994</v>
      </c>
      <c r="D38" s="12">
        <f t="shared" si="14"/>
        <v>0.60839999999999994</v>
      </c>
      <c r="E38" s="13"/>
      <c r="F38" s="12">
        <f t="shared" si="14"/>
        <v>0.6555899999999999</v>
      </c>
      <c r="G38" s="12">
        <f t="shared" si="14"/>
        <v>0.67586999999999997</v>
      </c>
      <c r="H38" s="12">
        <f t="shared" si="14"/>
        <v>0.69653999999999994</v>
      </c>
      <c r="I38" s="13">
        <f t="shared" si="14"/>
        <v>0.72383999999999993</v>
      </c>
      <c r="J38" s="12">
        <f t="shared" si="14"/>
        <v>0.73631999999999997</v>
      </c>
      <c r="K38" s="13">
        <f t="shared" si="14"/>
        <v>0.8053499999999999</v>
      </c>
      <c r="L38" s="12">
        <f t="shared" si="14"/>
        <v>0.78663000000000005</v>
      </c>
      <c r="M38" s="12">
        <f t="shared" si="14"/>
        <v>0.88685999999999998</v>
      </c>
      <c r="N38" s="13">
        <f t="shared" si="14"/>
        <v>0.96720000000000006</v>
      </c>
      <c r="O38" s="12">
        <f t="shared" si="14"/>
        <v>1.01634</v>
      </c>
      <c r="P38" s="13">
        <f t="shared" si="14"/>
        <v>1.06236</v>
      </c>
      <c r="Q38" s="12">
        <f t="shared" si="14"/>
        <v>1.18716</v>
      </c>
      <c r="R38" s="14">
        <f t="shared" si="14"/>
        <v>1.18716</v>
      </c>
    </row>
    <row r="39" spans="1:18" x14ac:dyDescent="0.25">
      <c r="A39" s="11" t="s">
        <v>71</v>
      </c>
      <c r="B39" s="12">
        <f>+ROUND(B37*$B$3,2)</f>
        <v>0</v>
      </c>
      <c r="C39" s="13">
        <f t="shared" ref="C39:R39" si="15">+ROUND(C37*$B$3,2)</f>
        <v>0</v>
      </c>
      <c r="D39" s="12">
        <f t="shared" si="15"/>
        <v>0</v>
      </c>
      <c r="E39" s="13"/>
      <c r="F39" s="12">
        <f t="shared" si="15"/>
        <v>0</v>
      </c>
      <c r="G39" s="12">
        <f t="shared" si="15"/>
        <v>0</v>
      </c>
      <c r="H39" s="12">
        <f t="shared" si="15"/>
        <v>0</v>
      </c>
      <c r="I39" s="13">
        <f t="shared" si="15"/>
        <v>0</v>
      </c>
      <c r="J39" s="12">
        <f t="shared" si="15"/>
        <v>0</v>
      </c>
      <c r="K39" s="13">
        <f t="shared" si="15"/>
        <v>0</v>
      </c>
      <c r="L39" s="12">
        <f t="shared" si="15"/>
        <v>0</v>
      </c>
      <c r="M39" s="12">
        <f t="shared" si="15"/>
        <v>0</v>
      </c>
      <c r="N39" s="13">
        <f t="shared" si="15"/>
        <v>0</v>
      </c>
      <c r="O39" s="12">
        <f t="shared" si="15"/>
        <v>0</v>
      </c>
      <c r="P39" s="13">
        <f t="shared" si="15"/>
        <v>0</v>
      </c>
      <c r="Q39" s="12">
        <f t="shared" si="15"/>
        <v>0</v>
      </c>
      <c r="R39" s="14">
        <f t="shared" si="15"/>
        <v>0</v>
      </c>
    </row>
    <row r="40" spans="1:18" x14ac:dyDescent="0.25">
      <c r="A40" s="31" t="s">
        <v>72</v>
      </c>
      <c r="B40" s="32">
        <f>+B39+B35</f>
        <v>15.26</v>
      </c>
      <c r="C40" s="33">
        <f t="shared" ref="C40:R40" si="16">+C39+C35</f>
        <v>15.46</v>
      </c>
      <c r="D40" s="32">
        <f t="shared" si="16"/>
        <v>16.25</v>
      </c>
      <c r="E40" s="33"/>
      <c r="F40" s="32">
        <f t="shared" si="16"/>
        <v>17.5</v>
      </c>
      <c r="G40" s="32">
        <f t="shared" si="16"/>
        <v>18.03</v>
      </c>
      <c r="H40" s="32">
        <f t="shared" si="16"/>
        <v>18.579999999999998</v>
      </c>
      <c r="I40" s="33">
        <f t="shared" si="16"/>
        <v>19.309999999999999</v>
      </c>
      <c r="J40" s="32">
        <f t="shared" si="16"/>
        <v>19.64</v>
      </c>
      <c r="K40" s="33">
        <f t="shared" si="16"/>
        <v>21.46</v>
      </c>
      <c r="L40" s="32">
        <f t="shared" si="16"/>
        <v>20.97</v>
      </c>
      <c r="M40" s="32">
        <f t="shared" si="16"/>
        <v>23.62</v>
      </c>
      <c r="N40" s="33">
        <f t="shared" si="16"/>
        <v>25.75</v>
      </c>
      <c r="O40" s="32">
        <f t="shared" si="16"/>
        <v>27.05</v>
      </c>
      <c r="P40" s="33">
        <f t="shared" si="16"/>
        <v>28.27</v>
      </c>
      <c r="Q40" s="32">
        <f t="shared" si="16"/>
        <v>31.57</v>
      </c>
      <c r="R40" s="33">
        <f t="shared" si="16"/>
        <v>31.57</v>
      </c>
    </row>
    <row r="41" spans="1:18" x14ac:dyDescent="0.25">
      <c r="C41" s="1"/>
      <c r="D41" s="1"/>
      <c r="E41" s="1"/>
      <c r="F41" s="1"/>
      <c r="G41" s="1"/>
      <c r="H41" s="1"/>
      <c r="I41" s="1"/>
      <c r="J41" s="1"/>
      <c r="K41" s="1"/>
      <c r="L41" s="1"/>
      <c r="M41" s="1"/>
      <c r="N41" s="1"/>
      <c r="O41" s="1"/>
      <c r="P41" s="1"/>
      <c r="Q41" s="1"/>
      <c r="R41" s="1"/>
    </row>
    <row r="42" spans="1:18" x14ac:dyDescent="0.25">
      <c r="C42" s="1"/>
      <c r="D42" s="1"/>
      <c r="E42" s="1"/>
      <c r="F42" s="1"/>
      <c r="G42" s="1"/>
      <c r="H42" s="1"/>
      <c r="I42" s="1"/>
      <c r="J42" s="1"/>
      <c r="K42" s="1"/>
      <c r="L42" s="1"/>
      <c r="M42" s="1"/>
      <c r="N42" s="1"/>
      <c r="O42" s="1"/>
      <c r="P42" s="1"/>
      <c r="Q42" s="1"/>
      <c r="R42" s="1"/>
    </row>
    <row r="43" spans="1:18" s="1" customFormat="1" x14ac:dyDescent="0.25"/>
    <row r="44" spans="1:18" x14ac:dyDescent="0.25">
      <c r="C44" s="1"/>
      <c r="D44" s="1"/>
      <c r="E44" s="1"/>
      <c r="F44" s="1"/>
      <c r="G44" s="1"/>
      <c r="H44" s="1"/>
      <c r="I44" s="1"/>
      <c r="J44" s="1"/>
      <c r="K44" s="1"/>
      <c r="L44" s="1"/>
      <c r="M44" s="1"/>
      <c r="N44" s="1"/>
      <c r="O44" s="1"/>
      <c r="P44" s="1"/>
      <c r="Q44" s="1"/>
      <c r="R44" s="1"/>
    </row>
    <row r="45" spans="1:18" s="89" customFormat="1" x14ac:dyDescent="0.25">
      <c r="B45" s="91" t="s">
        <v>73</v>
      </c>
    </row>
    <row r="46" spans="1:18" s="89" customFormat="1" x14ac:dyDescent="0.25">
      <c r="B46" s="91" t="s">
        <v>73</v>
      </c>
    </row>
    <row r="47" spans="1:18" s="89" customFormat="1" x14ac:dyDescent="0.25">
      <c r="B47" s="91"/>
    </row>
    <row r="48" spans="1:18" s="89" customFormat="1" x14ac:dyDescent="0.25">
      <c r="B48" s="91" t="s">
        <v>74</v>
      </c>
      <c r="C48" s="90">
        <f>4.97%</f>
        <v>4.9699999999999994E-2</v>
      </c>
    </row>
    <row r="49" spans="1:18" s="89" customFormat="1" x14ac:dyDescent="0.25">
      <c r="B49" s="91" t="s">
        <v>75</v>
      </c>
      <c r="C49" s="90">
        <f>4.4%</f>
        <v>4.4000000000000004E-2</v>
      </c>
    </row>
    <row r="50" spans="1:18" s="89" customFormat="1" x14ac:dyDescent="0.25">
      <c r="B50" s="91" t="s">
        <v>49</v>
      </c>
      <c r="C50" s="92">
        <v>0</v>
      </c>
    </row>
    <row r="51" spans="1:18" s="89" customFormat="1" x14ac:dyDescent="0.25">
      <c r="B51" s="91" t="s">
        <v>76</v>
      </c>
      <c r="C51" s="92">
        <v>0</v>
      </c>
    </row>
    <row r="52" spans="1:18" s="89" customFormat="1" x14ac:dyDescent="0.25">
      <c r="B52" s="91"/>
    </row>
    <row r="53" spans="1:18" s="89" customFormat="1" x14ac:dyDescent="0.25">
      <c r="B53" s="91" t="s">
        <v>52</v>
      </c>
    </row>
    <row r="54" spans="1:18" s="89" customFormat="1" x14ac:dyDescent="0.25">
      <c r="B54" s="91" t="s">
        <v>77</v>
      </c>
    </row>
    <row r="55" spans="1:18" s="89" customFormat="1" x14ac:dyDescent="0.25">
      <c r="B55" s="91"/>
    </row>
    <row r="56" spans="1:18" s="89" customFormat="1" x14ac:dyDescent="0.25">
      <c r="A56" s="89" t="s">
        <v>78</v>
      </c>
      <c r="B56" s="288">
        <v>2702.73</v>
      </c>
      <c r="C56" s="289">
        <v>2738.51</v>
      </c>
      <c r="D56" s="288">
        <v>2880.13</v>
      </c>
      <c r="E56" s="289"/>
      <c r="F56" s="288">
        <v>3104.4</v>
      </c>
      <c r="G56" s="288">
        <v>3200.43</v>
      </c>
      <c r="H56" s="288">
        <v>3297.79</v>
      </c>
      <c r="I56" s="289">
        <v>3428.55</v>
      </c>
      <c r="J56" s="288">
        <v>3487.87</v>
      </c>
      <c r="K56" s="289">
        <v>3814.81</v>
      </c>
      <c r="L56" s="288">
        <v>3726.42</v>
      </c>
      <c r="M56" s="288">
        <v>4201.49</v>
      </c>
      <c r="N56" s="289">
        <v>4582.91</v>
      </c>
      <c r="O56" s="288">
        <v>4816.6499999999996</v>
      </c>
      <c r="P56" s="289">
        <v>5034.6099999999997</v>
      </c>
      <c r="Q56" s="288">
        <v>5626.43</v>
      </c>
      <c r="R56" s="290">
        <v>5626.43</v>
      </c>
    </row>
    <row r="58" spans="1:18" x14ac:dyDescent="0.25">
      <c r="B58" s="287"/>
      <c r="C58" s="287"/>
      <c r="D58" s="287"/>
      <c r="F58" s="287"/>
      <c r="G58" s="287"/>
    </row>
    <row r="59" spans="1:18" x14ac:dyDescent="0.25">
      <c r="B59" s="34"/>
      <c r="C59" s="34"/>
    </row>
    <row r="60" spans="1:18" x14ac:dyDescent="0.25">
      <c r="C60" s="1"/>
      <c r="D60" s="1"/>
      <c r="F60" s="1"/>
      <c r="G60" s="1"/>
    </row>
    <row r="61" spans="1:18" x14ac:dyDescent="0.25">
      <c r="B61" s="34"/>
      <c r="C61" s="34"/>
      <c r="D61" s="34"/>
      <c r="E61" s="1"/>
      <c r="F61" s="34"/>
      <c r="G61" s="34"/>
      <c r="H61" s="1"/>
      <c r="I61" s="1"/>
      <c r="J61" s="1"/>
      <c r="K61" s="1"/>
      <c r="L61" s="1"/>
      <c r="M61" s="1"/>
      <c r="N61" s="1"/>
      <c r="O61" s="1"/>
      <c r="P61" s="1"/>
      <c r="Q61" s="1"/>
      <c r="R61" s="1"/>
    </row>
    <row r="62" spans="1:18" x14ac:dyDescent="0.25">
      <c r="B62" s="34"/>
      <c r="C62" s="34"/>
    </row>
    <row r="64" spans="1:18" x14ac:dyDescent="0.25">
      <c r="B64" s="300"/>
      <c r="C64" s="300"/>
      <c r="D64" s="300"/>
      <c r="E64" s="300"/>
      <c r="F64" s="300"/>
      <c r="G64" s="300"/>
      <c r="H64" s="300"/>
      <c r="I64" s="300"/>
      <c r="J64" s="300"/>
      <c r="K64" s="300"/>
      <c r="L64" s="300"/>
      <c r="M64" s="300"/>
      <c r="N64" s="300"/>
      <c r="O64" s="300"/>
      <c r="P64" s="300"/>
      <c r="Q64" s="300"/>
      <c r="R64" s="300"/>
    </row>
    <row r="65" spans="2:18" x14ac:dyDescent="0.25">
      <c r="C65" s="1"/>
      <c r="D65" s="1"/>
      <c r="E65" s="1"/>
      <c r="F65" s="1"/>
      <c r="G65" s="1"/>
      <c r="H65" s="1"/>
      <c r="I65" s="1"/>
      <c r="J65" s="1"/>
      <c r="K65" s="1"/>
      <c r="L65" s="1"/>
      <c r="M65" s="1"/>
      <c r="N65" s="1"/>
      <c r="O65" s="1"/>
      <c r="P65" s="1"/>
      <c r="Q65" s="1"/>
      <c r="R65" s="1"/>
    </row>
    <row r="66" spans="2:18" x14ac:dyDescent="0.25">
      <c r="C66" s="1"/>
      <c r="D66" s="1"/>
      <c r="E66" s="1"/>
      <c r="F66" s="1"/>
      <c r="G66" s="1"/>
      <c r="H66" s="1"/>
      <c r="I66" s="1"/>
      <c r="J66" s="1"/>
      <c r="K66" s="1"/>
      <c r="L66" s="1"/>
      <c r="M66" s="1"/>
      <c r="N66" s="1"/>
      <c r="O66" s="1"/>
      <c r="P66" s="1"/>
      <c r="Q66" s="1"/>
      <c r="R66" s="1"/>
    </row>
    <row r="67" spans="2:18" x14ac:dyDescent="0.25">
      <c r="B67" s="34"/>
      <c r="C67" s="34"/>
      <c r="D67" s="34"/>
      <c r="E67" s="34"/>
      <c r="F67" s="34"/>
      <c r="G67" s="34"/>
      <c r="H67" s="34"/>
      <c r="I67" s="34"/>
      <c r="J67" s="34"/>
      <c r="K67" s="34"/>
      <c r="L67" s="34"/>
      <c r="M67" s="34"/>
      <c r="N67" s="34"/>
      <c r="O67" s="34"/>
      <c r="P67" s="34"/>
      <c r="Q67" s="34"/>
      <c r="R67" s="34"/>
    </row>
  </sheetData>
  <conditionalFormatting sqref="B2">
    <cfRule type="expression" dxfId="2" priority="1">
      <formula>B1="Generale"</formula>
    </cfRule>
  </conditionalFormatting>
  <dataValidations count="2">
    <dataValidation type="list" allowBlank="1" showInputMessage="1" showErrorMessage="1" sqref="B1" xr:uid="{00000000-0002-0000-0700-000000000000}">
      <formula1>$B$45:$B$46</formula1>
    </dataValidation>
    <dataValidation type="list" allowBlank="1" showInputMessage="1" showErrorMessage="1" sqref="B5" xr:uid="{00000000-0002-0000-0700-000001000000}">
      <formula1>$B$53:$B$54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67"/>
  <sheetViews>
    <sheetView workbookViewId="0">
      <selection activeCell="N3" sqref="N3"/>
    </sheetView>
  </sheetViews>
  <sheetFormatPr defaultRowHeight="15" x14ac:dyDescent="0.25"/>
  <cols>
    <col min="1" max="1" width="44.28515625" bestFit="1" customWidth="1"/>
    <col min="2" max="2" width="9.140625" style="1"/>
    <col min="4" max="4" width="11.140625" bestFit="1" customWidth="1"/>
    <col min="9" max="9" width="13.28515625" bestFit="1" customWidth="1"/>
  </cols>
  <sheetData>
    <row r="1" spans="1:19" x14ac:dyDescent="0.25">
      <c r="A1" t="s">
        <v>47</v>
      </c>
      <c r="B1" s="2" t="s">
        <v>73</v>
      </c>
    </row>
    <row r="2" spans="1:19" x14ac:dyDescent="0.25">
      <c r="A2" t="s">
        <v>48</v>
      </c>
      <c r="B2" s="2" t="str">
        <f>+INPUT!C2</f>
        <v>Sicilia</v>
      </c>
    </row>
    <row r="3" spans="1:19" x14ac:dyDescent="0.25">
      <c r="A3" t="s">
        <v>50</v>
      </c>
      <c r="B3" s="3">
        <f>+IF(B1="Generale",0.039,INDEX(C48:C51,MATCH(B2,B48:B51,0)))</f>
        <v>0</v>
      </c>
    </row>
    <row r="4" spans="1:19" x14ac:dyDescent="0.25">
      <c r="B4" s="3"/>
    </row>
    <row r="5" spans="1:19" x14ac:dyDescent="0.25">
      <c r="A5" t="s">
        <v>51</v>
      </c>
      <c r="B5" s="4" t="s">
        <v>77</v>
      </c>
    </row>
    <row r="6" spans="1:19" x14ac:dyDescent="0.25">
      <c r="A6" t="s">
        <v>128</v>
      </c>
      <c r="B6">
        <v>1548</v>
      </c>
      <c r="C6">
        <v>1548</v>
      </c>
    </row>
    <row r="7" spans="1:19" x14ac:dyDescent="0.25">
      <c r="B7"/>
    </row>
    <row r="8" spans="1:19" ht="15.75" thickBot="1" x14ac:dyDescent="0.3">
      <c r="B8" s="287"/>
    </row>
    <row r="9" spans="1:19" s="158" customFormat="1" x14ac:dyDescent="0.25">
      <c r="A9" s="231" t="s">
        <v>53</v>
      </c>
      <c r="B9" s="6" t="s">
        <v>4</v>
      </c>
      <c r="C9" s="233" t="s">
        <v>5</v>
      </c>
      <c r="D9" s="8" t="s">
        <v>3</v>
      </c>
      <c r="E9" s="233" t="s">
        <v>6</v>
      </c>
      <c r="F9" s="8" t="s">
        <v>2</v>
      </c>
      <c r="G9" s="8" t="s">
        <v>1</v>
      </c>
      <c r="H9" s="8" t="s">
        <v>7</v>
      </c>
      <c r="I9" s="233" t="s">
        <v>8</v>
      </c>
      <c r="J9" s="8" t="s">
        <v>0</v>
      </c>
      <c r="K9" s="233" t="s">
        <v>9</v>
      </c>
      <c r="L9" s="8" t="s">
        <v>10</v>
      </c>
      <c r="M9" s="8" t="s">
        <v>11</v>
      </c>
      <c r="N9" s="233" t="s">
        <v>12</v>
      </c>
      <c r="O9" s="8" t="s">
        <v>13</v>
      </c>
      <c r="P9" s="233" t="s">
        <v>14</v>
      </c>
      <c r="Q9" s="8" t="s">
        <v>15</v>
      </c>
      <c r="R9" s="232" t="s">
        <v>16</v>
      </c>
    </row>
    <row r="10" spans="1:19" x14ac:dyDescent="0.25">
      <c r="A10" s="11" t="s">
        <v>54</v>
      </c>
      <c r="B10" s="288">
        <v>1236.99</v>
      </c>
      <c r="C10" s="289">
        <v>1248.44</v>
      </c>
      <c r="D10" s="288">
        <v>1306.6099999999999</v>
      </c>
      <c r="E10" s="289"/>
      <c r="F10" s="288">
        <v>1405.21</v>
      </c>
      <c r="G10" s="288">
        <v>1447.3</v>
      </c>
      <c r="H10" s="288">
        <v>1490.04</v>
      </c>
      <c r="I10" s="289">
        <v>1490.04</v>
      </c>
      <c r="J10" s="288">
        <v>1571.78</v>
      </c>
      <c r="K10" s="289">
        <v>1571.78</v>
      </c>
      <c r="L10" s="288">
        <v>1673.23</v>
      </c>
      <c r="M10" s="288">
        <v>1806.03</v>
      </c>
      <c r="N10" s="289">
        <v>1806.03</v>
      </c>
      <c r="O10" s="288">
        <v>1994.68</v>
      </c>
      <c r="P10" s="289">
        <v>1994.68</v>
      </c>
      <c r="Q10" s="288">
        <v>2277.9899999999998</v>
      </c>
      <c r="R10" s="290">
        <v>2277.9899999999998</v>
      </c>
      <c r="S10" s="1"/>
    </row>
    <row r="11" spans="1:19" x14ac:dyDescent="0.25">
      <c r="A11" s="11" t="s">
        <v>55</v>
      </c>
      <c r="B11" s="291">
        <v>34.86</v>
      </c>
      <c r="C11" s="292">
        <v>40.29</v>
      </c>
      <c r="D11" s="293">
        <v>48.81</v>
      </c>
      <c r="E11" s="292"/>
      <c r="F11" s="293">
        <v>55.77</v>
      </c>
      <c r="G11" s="293">
        <v>58.89</v>
      </c>
      <c r="H11" s="293">
        <v>61.98</v>
      </c>
      <c r="I11" s="292">
        <v>61.98</v>
      </c>
      <c r="J11" s="293">
        <v>69.72</v>
      </c>
      <c r="K11" s="292">
        <v>69.72</v>
      </c>
      <c r="L11" s="293">
        <v>80.58</v>
      </c>
      <c r="M11" s="293">
        <v>94.5</v>
      </c>
      <c r="N11" s="292">
        <v>94.5</v>
      </c>
      <c r="O11" s="293">
        <v>118.53</v>
      </c>
      <c r="P11" s="292">
        <v>118.53</v>
      </c>
      <c r="Q11" s="293">
        <v>139.44</v>
      </c>
      <c r="R11" s="294">
        <v>139.44</v>
      </c>
      <c r="S11" s="1"/>
    </row>
    <row r="12" spans="1:19" x14ac:dyDescent="0.25">
      <c r="A12" s="11" t="s">
        <v>56</v>
      </c>
      <c r="B12" s="291"/>
      <c r="C12" s="289"/>
      <c r="D12" s="288"/>
      <c r="E12" s="289"/>
      <c r="F12" s="288"/>
      <c r="G12" s="288"/>
      <c r="H12" s="288"/>
      <c r="I12" s="292">
        <v>61.97</v>
      </c>
      <c r="J12" s="288"/>
      <c r="K12" s="292">
        <v>154.94</v>
      </c>
      <c r="L12" s="288"/>
      <c r="M12" s="288"/>
      <c r="N12" s="292">
        <v>258.23</v>
      </c>
      <c r="O12" s="288"/>
      <c r="P12" s="292">
        <v>258.23</v>
      </c>
      <c r="Q12" s="288"/>
      <c r="R12" s="294">
        <v>232.41</v>
      </c>
      <c r="S12" s="1"/>
    </row>
    <row r="13" spans="1:19" x14ac:dyDescent="0.25">
      <c r="A13" s="11" t="s">
        <v>57</v>
      </c>
      <c r="B13" s="291"/>
      <c r="C13" s="289"/>
      <c r="D13" s="288"/>
      <c r="E13" s="292"/>
      <c r="F13" s="288"/>
      <c r="G13" s="288"/>
      <c r="H13" s="288"/>
      <c r="I13" s="289"/>
      <c r="J13" s="288"/>
      <c r="K13" s="289"/>
      <c r="L13" s="288"/>
      <c r="M13" s="293">
        <v>77.47</v>
      </c>
      <c r="N13" s="289"/>
      <c r="O13" s="293">
        <v>154.94</v>
      </c>
      <c r="P13" s="289"/>
      <c r="Q13" s="293">
        <v>232.41</v>
      </c>
      <c r="R13" s="290"/>
      <c r="S13" s="1"/>
    </row>
    <row r="14" spans="1:19" x14ac:dyDescent="0.25">
      <c r="A14" s="11" t="s">
        <v>58</v>
      </c>
      <c r="B14" s="291">
        <v>31.54</v>
      </c>
      <c r="C14" s="292">
        <v>31.84</v>
      </c>
      <c r="D14" s="293">
        <v>33.32</v>
      </c>
      <c r="E14" s="292"/>
      <c r="F14" s="293">
        <v>35.83</v>
      </c>
      <c r="G14" s="293">
        <v>36.909999999999997</v>
      </c>
      <c r="H14" s="293">
        <v>38</v>
      </c>
      <c r="I14" s="292">
        <v>38</v>
      </c>
      <c r="J14" s="293">
        <v>40.08</v>
      </c>
      <c r="K14" s="292">
        <v>40.08</v>
      </c>
      <c r="L14" s="293">
        <v>42.67</v>
      </c>
      <c r="M14" s="293">
        <v>46.05</v>
      </c>
      <c r="N14" s="292">
        <v>46.05</v>
      </c>
      <c r="O14" s="293">
        <v>50.86</v>
      </c>
      <c r="P14" s="292">
        <v>50.86</v>
      </c>
      <c r="Q14" s="293">
        <v>58.09</v>
      </c>
      <c r="R14" s="294">
        <v>58.09</v>
      </c>
      <c r="S14" s="1"/>
    </row>
    <row r="15" spans="1:19" x14ac:dyDescent="0.25">
      <c r="B15" s="19"/>
      <c r="C15" s="295"/>
      <c r="D15" s="22"/>
      <c r="F15" s="22"/>
      <c r="G15" s="22"/>
      <c r="H15" s="22"/>
      <c r="I15" s="1"/>
      <c r="J15" s="22"/>
      <c r="K15" s="1"/>
      <c r="L15" s="22"/>
      <c r="M15" s="22"/>
      <c r="N15" s="1"/>
      <c r="O15" s="22"/>
      <c r="P15" s="1"/>
      <c r="Q15" s="22"/>
      <c r="R15" s="1"/>
    </row>
    <row r="16" spans="1:19" x14ac:dyDescent="0.25">
      <c r="A16" s="11" t="s">
        <v>59</v>
      </c>
      <c r="B16" s="12">
        <f>+SUM(B10:B14)</f>
        <v>1303.3899999999999</v>
      </c>
      <c r="C16" s="13">
        <f t="shared" ref="C16:R16" si="0">+SUM(C10:C14)</f>
        <v>1320.57</v>
      </c>
      <c r="D16" s="12">
        <f t="shared" si="0"/>
        <v>1388.7399999999998</v>
      </c>
      <c r="E16" s="13">
        <f t="shared" si="0"/>
        <v>0</v>
      </c>
      <c r="F16" s="12">
        <f t="shared" si="0"/>
        <v>1496.81</v>
      </c>
      <c r="G16" s="12">
        <f t="shared" si="0"/>
        <v>1543.1000000000001</v>
      </c>
      <c r="H16" s="12">
        <f t="shared" si="0"/>
        <v>1590.02</v>
      </c>
      <c r="I16" s="13">
        <f t="shared" si="0"/>
        <v>1651.99</v>
      </c>
      <c r="J16" s="12">
        <f t="shared" si="0"/>
        <v>1681.58</v>
      </c>
      <c r="K16" s="13">
        <f t="shared" si="0"/>
        <v>1836.52</v>
      </c>
      <c r="L16" s="12">
        <f t="shared" si="0"/>
        <v>1796.48</v>
      </c>
      <c r="M16" s="12">
        <f t="shared" si="0"/>
        <v>2024.05</v>
      </c>
      <c r="N16" s="13">
        <f t="shared" si="0"/>
        <v>2204.8100000000004</v>
      </c>
      <c r="O16" s="12">
        <f t="shared" si="0"/>
        <v>2319.0100000000002</v>
      </c>
      <c r="P16" s="13">
        <f t="shared" si="0"/>
        <v>2422.3000000000002</v>
      </c>
      <c r="Q16" s="12">
        <f t="shared" si="0"/>
        <v>2707.93</v>
      </c>
      <c r="R16" s="14">
        <f t="shared" si="0"/>
        <v>2707.93</v>
      </c>
    </row>
    <row r="17" spans="1:18" x14ac:dyDescent="0.25">
      <c r="A17" s="296" t="s">
        <v>60</v>
      </c>
      <c r="B17" s="297">
        <f>+B16*13</f>
        <v>16944.07</v>
      </c>
      <c r="C17" s="298">
        <f t="shared" ref="C17:R17" si="1">+C16*13</f>
        <v>17167.41</v>
      </c>
      <c r="D17" s="297">
        <f t="shared" si="1"/>
        <v>18053.619999999995</v>
      </c>
      <c r="E17" s="298">
        <f t="shared" si="1"/>
        <v>0</v>
      </c>
      <c r="F17" s="297">
        <f t="shared" si="1"/>
        <v>19458.53</v>
      </c>
      <c r="G17" s="297">
        <f t="shared" si="1"/>
        <v>20060.300000000003</v>
      </c>
      <c r="H17" s="297">
        <f t="shared" si="1"/>
        <v>20670.259999999998</v>
      </c>
      <c r="I17" s="298">
        <f t="shared" si="1"/>
        <v>21475.87</v>
      </c>
      <c r="J17" s="297">
        <f t="shared" si="1"/>
        <v>21860.54</v>
      </c>
      <c r="K17" s="298">
        <f t="shared" si="1"/>
        <v>23874.76</v>
      </c>
      <c r="L17" s="297">
        <f t="shared" si="1"/>
        <v>23354.240000000002</v>
      </c>
      <c r="M17" s="297">
        <f t="shared" si="1"/>
        <v>26312.649999999998</v>
      </c>
      <c r="N17" s="298">
        <f t="shared" si="1"/>
        <v>28662.530000000006</v>
      </c>
      <c r="O17" s="297">
        <f t="shared" si="1"/>
        <v>30147.130000000005</v>
      </c>
      <c r="P17" s="298">
        <f t="shared" si="1"/>
        <v>31489.9</v>
      </c>
      <c r="Q17" s="297">
        <f t="shared" si="1"/>
        <v>35203.089999999997</v>
      </c>
      <c r="R17" s="299">
        <f t="shared" si="1"/>
        <v>35203.089999999997</v>
      </c>
    </row>
    <row r="18" spans="1:18" x14ac:dyDescent="0.25">
      <c r="B18" s="22"/>
      <c r="D18" s="21"/>
      <c r="F18" s="21"/>
      <c r="G18" s="21"/>
      <c r="H18" s="21"/>
      <c r="J18" s="21"/>
      <c r="L18" s="21"/>
      <c r="M18" s="21"/>
      <c r="O18" s="21"/>
      <c r="Q18" s="21"/>
    </row>
    <row r="19" spans="1:18" x14ac:dyDescent="0.25">
      <c r="A19" s="11" t="s">
        <v>61</v>
      </c>
      <c r="B19" s="12"/>
      <c r="C19" s="23"/>
      <c r="D19" s="24"/>
      <c r="E19" s="23"/>
      <c r="F19" s="24"/>
      <c r="G19" s="24"/>
      <c r="H19" s="24"/>
      <c r="I19" s="23"/>
      <c r="J19" s="24"/>
      <c r="K19" s="23"/>
      <c r="L19" s="24"/>
      <c r="M19" s="24"/>
      <c r="N19" s="23"/>
      <c r="O19" s="24"/>
      <c r="P19" s="23"/>
      <c r="Q19" s="24"/>
      <c r="R19" s="25"/>
    </row>
    <row r="20" spans="1:18" x14ac:dyDescent="0.25">
      <c r="A20" s="11" t="s">
        <v>315</v>
      </c>
      <c r="B20" s="15">
        <f>+B17*0.2733</f>
        <v>4630.8143309999996</v>
      </c>
      <c r="C20" s="26">
        <f t="shared" ref="C20:R20" si="2">+C17*0.2733</f>
        <v>4691.853153</v>
      </c>
      <c r="D20" s="15">
        <f t="shared" si="2"/>
        <v>4934.0543459999981</v>
      </c>
      <c r="E20" s="26"/>
      <c r="F20" s="15">
        <f t="shared" si="2"/>
        <v>5318.0162489999993</v>
      </c>
      <c r="G20" s="15">
        <f t="shared" si="2"/>
        <v>5482.4799900000007</v>
      </c>
      <c r="H20" s="15">
        <f t="shared" si="2"/>
        <v>5649.1820579999994</v>
      </c>
      <c r="I20" s="26">
        <f t="shared" si="2"/>
        <v>5869.3552709999994</v>
      </c>
      <c r="J20" s="15">
        <f t="shared" si="2"/>
        <v>5974.4855820000002</v>
      </c>
      <c r="K20" s="26">
        <f t="shared" si="2"/>
        <v>6524.9719079999995</v>
      </c>
      <c r="L20" s="15">
        <f t="shared" si="2"/>
        <v>6382.7137920000005</v>
      </c>
      <c r="M20" s="15">
        <f t="shared" si="2"/>
        <v>7191.2472449999987</v>
      </c>
      <c r="N20" s="26">
        <f t="shared" si="2"/>
        <v>7833.4694490000011</v>
      </c>
      <c r="O20" s="15">
        <f t="shared" si="2"/>
        <v>8239.2106290000011</v>
      </c>
      <c r="P20" s="26">
        <f t="shared" si="2"/>
        <v>8606.1896699999998</v>
      </c>
      <c r="Q20" s="15">
        <f t="shared" si="2"/>
        <v>9621.0044969999981</v>
      </c>
      <c r="R20" s="27">
        <f t="shared" si="2"/>
        <v>9621.0044969999981</v>
      </c>
    </row>
    <row r="21" spans="1:18" x14ac:dyDescent="0.25">
      <c r="A21" s="11" t="s">
        <v>63</v>
      </c>
      <c r="B21" s="15">
        <f>+B17*0.03</f>
        <v>508.32209999999998</v>
      </c>
      <c r="C21" s="26">
        <f t="shared" ref="C21:R21" si="3">+C17*0.03</f>
        <v>515.02229999999997</v>
      </c>
      <c r="D21" s="15">
        <f t="shared" si="3"/>
        <v>541.6085999999998</v>
      </c>
      <c r="E21" s="26"/>
      <c r="F21" s="15">
        <f t="shared" si="3"/>
        <v>583.7559</v>
      </c>
      <c r="G21" s="15">
        <f t="shared" si="3"/>
        <v>601.80900000000008</v>
      </c>
      <c r="H21" s="15">
        <f t="shared" si="3"/>
        <v>620.10779999999988</v>
      </c>
      <c r="I21" s="26">
        <f t="shared" si="3"/>
        <v>644.27609999999993</v>
      </c>
      <c r="J21" s="15">
        <f t="shared" si="3"/>
        <v>655.81619999999998</v>
      </c>
      <c r="K21" s="26">
        <f t="shared" si="3"/>
        <v>716.24279999999987</v>
      </c>
      <c r="L21" s="15">
        <f t="shared" si="3"/>
        <v>700.62720000000002</v>
      </c>
      <c r="M21" s="15">
        <f t="shared" si="3"/>
        <v>789.37949999999989</v>
      </c>
      <c r="N21" s="26">
        <f t="shared" si="3"/>
        <v>859.87590000000012</v>
      </c>
      <c r="O21" s="15">
        <f t="shared" si="3"/>
        <v>904.41390000000013</v>
      </c>
      <c r="P21" s="26">
        <f t="shared" si="3"/>
        <v>944.697</v>
      </c>
      <c r="Q21" s="15">
        <f t="shared" si="3"/>
        <v>1056.0926999999999</v>
      </c>
      <c r="R21" s="27">
        <f t="shared" si="3"/>
        <v>1056.0926999999999</v>
      </c>
    </row>
    <row r="22" spans="1:18" x14ac:dyDescent="0.25">
      <c r="A22" s="11" t="s">
        <v>64</v>
      </c>
      <c r="B22" s="12">
        <f>+B21+B20</f>
        <v>5139.1364309999999</v>
      </c>
      <c r="C22" s="13">
        <f t="shared" ref="C22:R22" si="4">+C21+C20</f>
        <v>5206.8754529999997</v>
      </c>
      <c r="D22" s="12">
        <f t="shared" si="4"/>
        <v>5475.6629459999976</v>
      </c>
      <c r="E22" s="13"/>
      <c r="F22" s="12">
        <f t="shared" si="4"/>
        <v>5901.7721489999994</v>
      </c>
      <c r="G22" s="12">
        <f t="shared" si="4"/>
        <v>6084.2889900000009</v>
      </c>
      <c r="H22" s="12">
        <f t="shared" si="4"/>
        <v>6269.2898579999992</v>
      </c>
      <c r="I22" s="13">
        <f t="shared" si="4"/>
        <v>6513.6313709999995</v>
      </c>
      <c r="J22" s="12">
        <f t="shared" si="4"/>
        <v>6630.3017820000005</v>
      </c>
      <c r="K22" s="13">
        <f t="shared" si="4"/>
        <v>7241.2147079999995</v>
      </c>
      <c r="L22" s="12">
        <f t="shared" si="4"/>
        <v>7083.3409920000004</v>
      </c>
      <c r="M22" s="12">
        <f t="shared" si="4"/>
        <v>7980.6267449999987</v>
      </c>
      <c r="N22" s="13">
        <f t="shared" si="4"/>
        <v>8693.3453490000011</v>
      </c>
      <c r="O22" s="12">
        <f t="shared" si="4"/>
        <v>9143.6245290000006</v>
      </c>
      <c r="P22" s="13">
        <f t="shared" si="4"/>
        <v>9550.8866699999999</v>
      </c>
      <c r="Q22" s="12">
        <f t="shared" si="4"/>
        <v>10677.097196999997</v>
      </c>
      <c r="R22" s="14">
        <f t="shared" si="4"/>
        <v>10677.097196999997</v>
      </c>
    </row>
    <row r="23" spans="1:18" x14ac:dyDescent="0.25">
      <c r="B23" s="22"/>
      <c r="D23" s="21"/>
      <c r="F23" s="21"/>
      <c r="G23" s="21"/>
      <c r="H23" s="21"/>
      <c r="J23" s="21"/>
      <c r="L23" s="21"/>
      <c r="M23" s="21"/>
      <c r="O23" s="21"/>
      <c r="Q23" s="21"/>
    </row>
    <row r="24" spans="1:18" x14ac:dyDescent="0.25">
      <c r="A24" t="s">
        <v>316</v>
      </c>
      <c r="B24" s="22">
        <v>200</v>
      </c>
      <c r="C24">
        <v>200</v>
      </c>
      <c r="D24" s="21">
        <v>200</v>
      </c>
      <c r="F24" s="21">
        <v>200</v>
      </c>
      <c r="G24" s="21">
        <v>200</v>
      </c>
      <c r="H24" s="21">
        <v>200</v>
      </c>
      <c r="I24">
        <v>200</v>
      </c>
      <c r="J24" s="21">
        <v>200</v>
      </c>
      <c r="K24">
        <v>200</v>
      </c>
      <c r="L24" s="21">
        <v>200</v>
      </c>
      <c r="M24" s="21">
        <v>200</v>
      </c>
      <c r="N24">
        <v>200</v>
      </c>
      <c r="O24" s="21">
        <v>200</v>
      </c>
      <c r="P24">
        <v>200</v>
      </c>
      <c r="Q24" s="21">
        <v>200</v>
      </c>
      <c r="R24">
        <v>200</v>
      </c>
    </row>
    <row r="25" spans="1:18" x14ac:dyDescent="0.25">
      <c r="A25" s="11" t="s">
        <v>65</v>
      </c>
      <c r="B25" s="12">
        <f>+B16*0.962962</f>
        <v>1255.1150411799999</v>
      </c>
      <c r="C25" s="13">
        <f t="shared" ref="C25:R25" si="5">+C16*0.962962</f>
        <v>1271.6587283399999</v>
      </c>
      <c r="D25" s="12">
        <f t="shared" si="5"/>
        <v>1337.3038478799997</v>
      </c>
      <c r="E25" s="13"/>
      <c r="F25" s="12">
        <f t="shared" si="5"/>
        <v>1441.37115122</v>
      </c>
      <c r="G25" s="12">
        <f t="shared" si="5"/>
        <v>1485.9466622000002</v>
      </c>
      <c r="H25" s="12">
        <f t="shared" si="5"/>
        <v>1531.1288392399999</v>
      </c>
      <c r="I25" s="13">
        <f t="shared" si="5"/>
        <v>1590.80359438</v>
      </c>
      <c r="J25" s="12">
        <f t="shared" si="5"/>
        <v>1619.29763996</v>
      </c>
      <c r="K25" s="13">
        <f t="shared" si="5"/>
        <v>1768.4989722400001</v>
      </c>
      <c r="L25" s="12">
        <f t="shared" si="5"/>
        <v>1729.9419737599999</v>
      </c>
      <c r="M25" s="12">
        <f t="shared" si="5"/>
        <v>1949.0832361</v>
      </c>
      <c r="N25" s="13">
        <f t="shared" si="5"/>
        <v>2123.1482472200005</v>
      </c>
      <c r="O25" s="12">
        <f t="shared" si="5"/>
        <v>2233.1185076200004</v>
      </c>
      <c r="P25" s="13">
        <f t="shared" si="5"/>
        <v>2332.5828526</v>
      </c>
      <c r="Q25" s="12">
        <f t="shared" si="5"/>
        <v>2607.6336886599997</v>
      </c>
      <c r="R25" s="14">
        <f t="shared" si="5"/>
        <v>2607.6336886599997</v>
      </c>
    </row>
    <row r="26" spans="1:18" x14ac:dyDescent="0.25">
      <c r="A26" s="11" t="s">
        <v>320</v>
      </c>
      <c r="B26" s="15">
        <f>+B25*0.018673*6</f>
        <v>140.62057898372481</v>
      </c>
      <c r="C26" s="26">
        <f t="shared" ref="C26:R26" si="6">+C25*0.018673*6</f>
        <v>142.47410060575692</v>
      </c>
      <c r="D26" s="15">
        <f t="shared" si="6"/>
        <v>149.8288485087794</v>
      </c>
      <c r="E26" s="26">
        <f t="shared" si="6"/>
        <v>0</v>
      </c>
      <c r="F26" s="15">
        <f t="shared" si="6"/>
        <v>161.48834104038633</v>
      </c>
      <c r="G26" s="15">
        <f t="shared" si="6"/>
        <v>166.48249213956362</v>
      </c>
      <c r="H26" s="15">
        <f t="shared" si="6"/>
        <v>171.54461289077111</v>
      </c>
      <c r="I26" s="26">
        <f t="shared" si="6"/>
        <v>178.23045310714645</v>
      </c>
      <c r="J26" s="15">
        <f t="shared" si="6"/>
        <v>181.42286898583845</v>
      </c>
      <c r="K26" s="26">
        <f t="shared" si="6"/>
        <v>198.13908785182511</v>
      </c>
      <c r="L26" s="15">
        <f t="shared" si="6"/>
        <v>193.81923885612287</v>
      </c>
      <c r="M26" s="15">
        <f t="shared" si="6"/>
        <v>218.37138760617177</v>
      </c>
      <c r="N26" s="26">
        <f t="shared" si="6"/>
        <v>237.87328332203441</v>
      </c>
      <c r="O26" s="15">
        <f t="shared" si="6"/>
        <v>250.1941313567296</v>
      </c>
      <c r="P26" s="26">
        <f t="shared" si="6"/>
        <v>261.3379176395988</v>
      </c>
      <c r="Q26" s="15">
        <f t="shared" si="6"/>
        <v>292.15406321008902</v>
      </c>
      <c r="R26" s="27">
        <f t="shared" si="6"/>
        <v>292.15406321008902</v>
      </c>
    </row>
    <row r="27" spans="1:18" x14ac:dyDescent="0.25">
      <c r="A27" s="11" t="s">
        <v>318</v>
      </c>
      <c r="B27" s="15">
        <f>+B17*0.015</f>
        <v>254.16104999999999</v>
      </c>
      <c r="C27" s="26">
        <f t="shared" ref="C27:R27" si="7">+C17*0.015</f>
        <v>257.51114999999999</v>
      </c>
      <c r="D27" s="15">
        <f t="shared" si="7"/>
        <v>270.8042999999999</v>
      </c>
      <c r="E27" s="26"/>
      <c r="F27" s="15">
        <f t="shared" si="7"/>
        <v>291.87795</v>
      </c>
      <c r="G27" s="15">
        <f t="shared" si="7"/>
        <v>300.90450000000004</v>
      </c>
      <c r="H27" s="15">
        <f t="shared" si="7"/>
        <v>310.05389999999994</v>
      </c>
      <c r="I27" s="26">
        <f t="shared" si="7"/>
        <v>322.13804999999996</v>
      </c>
      <c r="J27" s="15">
        <f t="shared" si="7"/>
        <v>327.90809999999999</v>
      </c>
      <c r="K27" s="26">
        <f t="shared" si="7"/>
        <v>358.12139999999994</v>
      </c>
      <c r="L27" s="15">
        <f t="shared" si="7"/>
        <v>350.31360000000001</v>
      </c>
      <c r="M27" s="15">
        <f t="shared" si="7"/>
        <v>394.68974999999995</v>
      </c>
      <c r="N27" s="26">
        <f t="shared" si="7"/>
        <v>429.93795000000006</v>
      </c>
      <c r="O27" s="15">
        <f t="shared" si="7"/>
        <v>452.20695000000006</v>
      </c>
      <c r="P27" s="26">
        <f t="shared" si="7"/>
        <v>472.3485</v>
      </c>
      <c r="Q27" s="15">
        <f t="shared" si="7"/>
        <v>528.04634999999996</v>
      </c>
      <c r="R27" s="27">
        <f t="shared" si="7"/>
        <v>528.04634999999996</v>
      </c>
    </row>
    <row r="28" spans="1:18" x14ac:dyDescent="0.25">
      <c r="A28" s="11" t="s">
        <v>68</v>
      </c>
      <c r="B28" s="28">
        <v>66</v>
      </c>
      <c r="C28" s="29">
        <v>66</v>
      </c>
      <c r="D28" s="28">
        <v>66</v>
      </c>
      <c r="E28" s="29"/>
      <c r="F28" s="28">
        <v>66</v>
      </c>
      <c r="G28" s="28">
        <v>66</v>
      </c>
      <c r="H28" s="28">
        <v>66</v>
      </c>
      <c r="I28" s="29">
        <v>66</v>
      </c>
      <c r="J28" s="28">
        <v>66</v>
      </c>
      <c r="K28" s="29">
        <v>66</v>
      </c>
      <c r="L28" s="28">
        <v>66</v>
      </c>
      <c r="M28" s="28">
        <v>66</v>
      </c>
      <c r="N28" s="29">
        <v>66</v>
      </c>
      <c r="O28" s="28">
        <v>66</v>
      </c>
      <c r="P28" s="29">
        <v>66</v>
      </c>
      <c r="Q28" s="28">
        <v>66</v>
      </c>
      <c r="R28" s="30">
        <v>66</v>
      </c>
    </row>
    <row r="29" spans="1:18" x14ac:dyDescent="0.25">
      <c r="B29" s="22"/>
      <c r="D29" s="21"/>
      <c r="F29" s="21"/>
      <c r="G29" s="21"/>
      <c r="H29" s="21"/>
      <c r="J29" s="21"/>
      <c r="L29" s="21"/>
      <c r="M29" s="21"/>
      <c r="O29" s="21"/>
      <c r="Q29" s="21"/>
    </row>
    <row r="30" spans="1:18" x14ac:dyDescent="0.25">
      <c r="A30" s="11" t="s">
        <v>69</v>
      </c>
      <c r="B30" s="12">
        <f>+B17+B22+B25+B26+B27+B28+B24</f>
        <v>23999.103101163724</v>
      </c>
      <c r="C30" s="13">
        <f t="shared" ref="C30:R30" si="8">+C17+C22+C25+C26+C27+C28+C24</f>
        <v>24311.929431945755</v>
      </c>
      <c r="D30" s="12">
        <f t="shared" si="8"/>
        <v>25553.219942388772</v>
      </c>
      <c r="E30" s="13"/>
      <c r="F30" s="12">
        <f t="shared" si="8"/>
        <v>27521.039591260382</v>
      </c>
      <c r="G30" s="12">
        <f t="shared" si="8"/>
        <v>28363.922644339567</v>
      </c>
      <c r="H30" s="12">
        <f t="shared" si="8"/>
        <v>29218.277210130767</v>
      </c>
      <c r="I30" s="13">
        <f t="shared" si="8"/>
        <v>30346.673468487144</v>
      </c>
      <c r="J30" s="12">
        <f t="shared" si="8"/>
        <v>30885.470390945844</v>
      </c>
      <c r="K30" s="13">
        <f t="shared" si="8"/>
        <v>33706.734168091825</v>
      </c>
      <c r="L30" s="12">
        <f t="shared" si="8"/>
        <v>32977.655804616123</v>
      </c>
      <c r="M30" s="12">
        <f t="shared" si="8"/>
        <v>37121.421118706166</v>
      </c>
      <c r="N30" s="13">
        <f t="shared" si="8"/>
        <v>40412.834829542044</v>
      </c>
      <c r="O30" s="12">
        <f t="shared" si="8"/>
        <v>42492.274117976733</v>
      </c>
      <c r="P30" s="13">
        <f t="shared" si="8"/>
        <v>44373.055940239596</v>
      </c>
      <c r="Q30" s="12">
        <f t="shared" si="8"/>
        <v>49574.021298870073</v>
      </c>
      <c r="R30" s="14">
        <f t="shared" si="8"/>
        <v>49574.021298870073</v>
      </c>
    </row>
    <row r="31" spans="1:18" x14ac:dyDescent="0.25">
      <c r="A31" s="11" t="s">
        <v>51</v>
      </c>
      <c r="B31" s="12">
        <f>+IF($B$5="Si",B56,0)</f>
        <v>0</v>
      </c>
      <c r="C31" s="13">
        <f t="shared" ref="C31:R31" si="9">+IF($B$5="Si",C56,0)</f>
        <v>0</v>
      </c>
      <c r="D31" s="12">
        <f t="shared" si="9"/>
        <v>0</v>
      </c>
      <c r="E31" s="13"/>
      <c r="F31" s="12">
        <f t="shared" si="9"/>
        <v>0</v>
      </c>
      <c r="G31" s="12">
        <f t="shared" si="9"/>
        <v>0</v>
      </c>
      <c r="H31" s="12">
        <f t="shared" si="9"/>
        <v>0</v>
      </c>
      <c r="I31" s="13">
        <f t="shared" si="9"/>
        <v>0</v>
      </c>
      <c r="J31" s="12">
        <f t="shared" si="9"/>
        <v>0</v>
      </c>
      <c r="K31" s="13">
        <f t="shared" si="9"/>
        <v>0</v>
      </c>
      <c r="L31" s="12">
        <f t="shared" si="9"/>
        <v>0</v>
      </c>
      <c r="M31" s="12">
        <f t="shared" si="9"/>
        <v>0</v>
      </c>
      <c r="N31" s="13">
        <f t="shared" si="9"/>
        <v>0</v>
      </c>
      <c r="O31" s="12">
        <f t="shared" si="9"/>
        <v>0</v>
      </c>
      <c r="P31" s="13">
        <f t="shared" si="9"/>
        <v>0</v>
      </c>
      <c r="Q31" s="12">
        <f t="shared" si="9"/>
        <v>0</v>
      </c>
      <c r="R31" s="14">
        <f t="shared" si="9"/>
        <v>0</v>
      </c>
    </row>
    <row r="32" spans="1:18" x14ac:dyDescent="0.25">
      <c r="B32" s="22"/>
      <c r="C32" s="1"/>
      <c r="D32" s="22"/>
      <c r="E32" s="1"/>
      <c r="F32" s="22"/>
      <c r="G32" s="22"/>
      <c r="H32" s="22"/>
      <c r="I32" s="1"/>
      <c r="J32" s="22"/>
      <c r="K32" s="1"/>
      <c r="L32" s="22"/>
      <c r="M32" s="22"/>
      <c r="N32" s="1"/>
      <c r="O32" s="22"/>
      <c r="P32" s="1"/>
      <c r="Q32" s="22"/>
      <c r="R32" s="1"/>
    </row>
    <row r="33" spans="1:18" x14ac:dyDescent="0.25">
      <c r="A33" s="296" t="s">
        <v>70</v>
      </c>
      <c r="B33" s="297">
        <f>+B31+B30</f>
        <v>23999.103101163724</v>
      </c>
      <c r="C33" s="298">
        <f t="shared" ref="C33:R33" si="10">+C31+C30</f>
        <v>24311.929431945755</v>
      </c>
      <c r="D33" s="297">
        <f t="shared" si="10"/>
        <v>25553.219942388772</v>
      </c>
      <c r="E33" s="298"/>
      <c r="F33" s="297">
        <f t="shared" si="10"/>
        <v>27521.039591260382</v>
      </c>
      <c r="G33" s="297">
        <f t="shared" si="10"/>
        <v>28363.922644339567</v>
      </c>
      <c r="H33" s="297">
        <f t="shared" si="10"/>
        <v>29218.277210130767</v>
      </c>
      <c r="I33" s="298">
        <f t="shared" si="10"/>
        <v>30346.673468487144</v>
      </c>
      <c r="J33" s="297">
        <f t="shared" si="10"/>
        <v>30885.470390945844</v>
      </c>
      <c r="K33" s="298">
        <f t="shared" si="10"/>
        <v>33706.734168091825</v>
      </c>
      <c r="L33" s="297">
        <f t="shared" si="10"/>
        <v>32977.655804616123</v>
      </c>
      <c r="M33" s="297">
        <f t="shared" si="10"/>
        <v>37121.421118706166</v>
      </c>
      <c r="N33" s="298">
        <f t="shared" si="10"/>
        <v>40412.834829542044</v>
      </c>
      <c r="O33" s="297">
        <f t="shared" si="10"/>
        <v>42492.274117976733</v>
      </c>
      <c r="P33" s="298">
        <f t="shared" si="10"/>
        <v>44373.055940239596</v>
      </c>
      <c r="Q33" s="297">
        <f t="shared" si="10"/>
        <v>49574.021298870073</v>
      </c>
      <c r="R33" s="299">
        <f t="shared" si="10"/>
        <v>49574.021298870073</v>
      </c>
    </row>
    <row r="34" spans="1:18" x14ac:dyDescent="0.25">
      <c r="B34" s="22"/>
      <c r="C34" s="1"/>
      <c r="D34" s="22"/>
      <c r="E34" s="1"/>
      <c r="F34" s="22"/>
      <c r="G34" s="22"/>
      <c r="H34" s="22"/>
      <c r="I34" s="1"/>
      <c r="J34" s="22"/>
      <c r="K34" s="1"/>
      <c r="L34" s="22"/>
      <c r="M34" s="22"/>
      <c r="N34" s="1"/>
      <c r="O34" s="22"/>
      <c r="P34" s="1"/>
      <c r="Q34" s="22"/>
      <c r="R34" s="1"/>
    </row>
    <row r="35" spans="1:18" x14ac:dyDescent="0.25">
      <c r="A35" s="11" t="s">
        <v>20</v>
      </c>
      <c r="B35" s="12">
        <f>+ROUND(B33/$B$6,2)</f>
        <v>15.5</v>
      </c>
      <c r="C35" s="13">
        <f t="shared" ref="C35:R35" si="11">+ROUND(C33/$B$6,2)</f>
        <v>15.71</v>
      </c>
      <c r="D35" s="12">
        <f t="shared" si="11"/>
        <v>16.510000000000002</v>
      </c>
      <c r="E35" s="13"/>
      <c r="F35" s="12">
        <f t="shared" si="11"/>
        <v>17.78</v>
      </c>
      <c r="G35" s="12">
        <f t="shared" si="11"/>
        <v>18.32</v>
      </c>
      <c r="H35" s="12">
        <f t="shared" si="11"/>
        <v>18.87</v>
      </c>
      <c r="I35" s="13">
        <f t="shared" si="11"/>
        <v>19.600000000000001</v>
      </c>
      <c r="J35" s="12">
        <f t="shared" si="11"/>
        <v>19.95</v>
      </c>
      <c r="K35" s="13">
        <f t="shared" si="11"/>
        <v>21.77</v>
      </c>
      <c r="L35" s="12">
        <f t="shared" si="11"/>
        <v>21.3</v>
      </c>
      <c r="M35" s="12">
        <f t="shared" si="11"/>
        <v>23.98</v>
      </c>
      <c r="N35" s="13">
        <f t="shared" si="11"/>
        <v>26.11</v>
      </c>
      <c r="O35" s="12">
        <f t="shared" si="11"/>
        <v>27.45</v>
      </c>
      <c r="P35" s="13">
        <f t="shared" si="11"/>
        <v>28.66</v>
      </c>
      <c r="Q35" s="12">
        <f t="shared" si="11"/>
        <v>32.020000000000003</v>
      </c>
      <c r="R35" s="14">
        <f t="shared" si="11"/>
        <v>32.020000000000003</v>
      </c>
    </row>
    <row r="36" spans="1:18" x14ac:dyDescent="0.25">
      <c r="A36" s="11" t="s">
        <v>120</v>
      </c>
      <c r="B36" s="12">
        <f>+B33-B21-B27-B24</f>
        <v>23036.619951163724</v>
      </c>
      <c r="C36" s="13">
        <f t="shared" ref="C36:R36" si="12">+C33-C21-C27-C24</f>
        <v>23339.395981945756</v>
      </c>
      <c r="D36" s="12">
        <f t="shared" si="12"/>
        <v>24540.807042388773</v>
      </c>
      <c r="E36" s="13">
        <f t="shared" si="12"/>
        <v>0</v>
      </c>
      <c r="F36" s="12">
        <f t="shared" si="12"/>
        <v>26445.405741260383</v>
      </c>
      <c r="G36" s="12">
        <f t="shared" si="12"/>
        <v>27261.209144339566</v>
      </c>
      <c r="H36" s="12">
        <f t="shared" si="12"/>
        <v>28088.115510130767</v>
      </c>
      <c r="I36" s="13">
        <f t="shared" si="12"/>
        <v>29180.259318487144</v>
      </c>
      <c r="J36" s="12">
        <f t="shared" si="12"/>
        <v>29701.746090945842</v>
      </c>
      <c r="K36" s="13">
        <f t="shared" si="12"/>
        <v>32432.369968091825</v>
      </c>
      <c r="L36" s="12">
        <f t="shared" si="12"/>
        <v>31726.715004616122</v>
      </c>
      <c r="M36" s="12">
        <f t="shared" si="12"/>
        <v>35737.351868706166</v>
      </c>
      <c r="N36" s="13">
        <f t="shared" si="12"/>
        <v>38923.020979542045</v>
      </c>
      <c r="O36" s="12">
        <f t="shared" si="12"/>
        <v>40935.653267976733</v>
      </c>
      <c r="P36" s="13">
        <f t="shared" si="12"/>
        <v>42756.010440239595</v>
      </c>
      <c r="Q36" s="12">
        <f t="shared" si="12"/>
        <v>47789.882248870075</v>
      </c>
      <c r="R36" s="14">
        <f t="shared" si="12"/>
        <v>47789.882248870075</v>
      </c>
    </row>
    <row r="37" spans="1:18" x14ac:dyDescent="0.25">
      <c r="A37" s="11" t="s">
        <v>121</v>
      </c>
      <c r="B37" s="12">
        <f>+ROUND(B36/$B$6,2)</f>
        <v>14.88</v>
      </c>
      <c r="C37" s="13">
        <f t="shared" ref="C37:R37" si="13">+ROUND(C36/$B$6,2)</f>
        <v>15.08</v>
      </c>
      <c r="D37" s="12">
        <f t="shared" si="13"/>
        <v>15.85</v>
      </c>
      <c r="E37" s="13"/>
      <c r="F37" s="12">
        <f t="shared" si="13"/>
        <v>17.079999999999998</v>
      </c>
      <c r="G37" s="12">
        <f t="shared" si="13"/>
        <v>17.61</v>
      </c>
      <c r="H37" s="12">
        <f t="shared" si="13"/>
        <v>18.14</v>
      </c>
      <c r="I37" s="13">
        <f t="shared" si="13"/>
        <v>18.850000000000001</v>
      </c>
      <c r="J37" s="12">
        <f t="shared" si="13"/>
        <v>19.190000000000001</v>
      </c>
      <c r="K37" s="13">
        <f t="shared" si="13"/>
        <v>20.95</v>
      </c>
      <c r="L37" s="12">
        <f t="shared" si="13"/>
        <v>20.5</v>
      </c>
      <c r="M37" s="12">
        <f t="shared" si="13"/>
        <v>23.09</v>
      </c>
      <c r="N37" s="13">
        <f t="shared" si="13"/>
        <v>25.14</v>
      </c>
      <c r="O37" s="12">
        <f t="shared" si="13"/>
        <v>26.44</v>
      </c>
      <c r="P37" s="13">
        <f t="shared" si="13"/>
        <v>27.62</v>
      </c>
      <c r="Q37" s="12">
        <f t="shared" si="13"/>
        <v>30.87</v>
      </c>
      <c r="R37" s="14">
        <f t="shared" si="13"/>
        <v>30.87</v>
      </c>
    </row>
    <row r="38" spans="1:18" x14ac:dyDescent="0.25">
      <c r="A38" s="11" t="s">
        <v>319</v>
      </c>
      <c r="B38" s="12">
        <f>+B37*0.039</f>
        <v>0.58032000000000006</v>
      </c>
      <c r="C38" s="13">
        <f t="shared" ref="C38:R38" si="14">+C37*0.039</f>
        <v>0.58811999999999998</v>
      </c>
      <c r="D38" s="12">
        <f t="shared" si="14"/>
        <v>0.61814999999999998</v>
      </c>
      <c r="E38" s="13"/>
      <c r="F38" s="12">
        <f t="shared" si="14"/>
        <v>0.66611999999999993</v>
      </c>
      <c r="G38" s="12">
        <f t="shared" si="14"/>
        <v>0.68679000000000001</v>
      </c>
      <c r="H38" s="12">
        <f t="shared" si="14"/>
        <v>0.70745999999999998</v>
      </c>
      <c r="I38" s="13">
        <f t="shared" si="14"/>
        <v>0.73515000000000008</v>
      </c>
      <c r="J38" s="12">
        <f t="shared" si="14"/>
        <v>0.74841000000000002</v>
      </c>
      <c r="K38" s="13">
        <f t="shared" si="14"/>
        <v>0.81704999999999994</v>
      </c>
      <c r="L38" s="12">
        <f t="shared" si="14"/>
        <v>0.79949999999999999</v>
      </c>
      <c r="M38" s="12">
        <f t="shared" si="14"/>
        <v>0.90051000000000003</v>
      </c>
      <c r="N38" s="13">
        <f t="shared" si="14"/>
        <v>0.98046</v>
      </c>
      <c r="O38" s="12">
        <f t="shared" si="14"/>
        <v>1.0311600000000001</v>
      </c>
      <c r="P38" s="13">
        <f t="shared" si="14"/>
        <v>1.07718</v>
      </c>
      <c r="Q38" s="12">
        <f t="shared" si="14"/>
        <v>1.2039299999999999</v>
      </c>
      <c r="R38" s="14">
        <f t="shared" si="14"/>
        <v>1.2039299999999999</v>
      </c>
    </row>
    <row r="39" spans="1:18" x14ac:dyDescent="0.25">
      <c r="A39" s="11" t="s">
        <v>71</v>
      </c>
      <c r="B39" s="12">
        <f>+ROUND(B37*$B$3,2)</f>
        <v>0</v>
      </c>
      <c r="C39" s="13">
        <f t="shared" ref="C39:R39" si="15">+ROUND(C37*$B$3,2)</f>
        <v>0</v>
      </c>
      <c r="D39" s="12">
        <f t="shared" si="15"/>
        <v>0</v>
      </c>
      <c r="E39" s="13"/>
      <c r="F39" s="12">
        <f t="shared" si="15"/>
        <v>0</v>
      </c>
      <c r="G39" s="12">
        <f t="shared" si="15"/>
        <v>0</v>
      </c>
      <c r="H39" s="12">
        <f t="shared" si="15"/>
        <v>0</v>
      </c>
      <c r="I39" s="13">
        <f t="shared" si="15"/>
        <v>0</v>
      </c>
      <c r="J39" s="12">
        <f t="shared" si="15"/>
        <v>0</v>
      </c>
      <c r="K39" s="13">
        <f t="shared" si="15"/>
        <v>0</v>
      </c>
      <c r="L39" s="12">
        <f t="shared" si="15"/>
        <v>0</v>
      </c>
      <c r="M39" s="12">
        <f t="shared" si="15"/>
        <v>0</v>
      </c>
      <c r="N39" s="13">
        <f t="shared" si="15"/>
        <v>0</v>
      </c>
      <c r="O39" s="12">
        <f t="shared" si="15"/>
        <v>0</v>
      </c>
      <c r="P39" s="13">
        <f t="shared" si="15"/>
        <v>0</v>
      </c>
      <c r="Q39" s="12">
        <f t="shared" si="15"/>
        <v>0</v>
      </c>
      <c r="R39" s="14">
        <f t="shared" si="15"/>
        <v>0</v>
      </c>
    </row>
    <row r="40" spans="1:18" x14ac:dyDescent="0.25">
      <c r="A40" s="31" t="s">
        <v>72</v>
      </c>
      <c r="B40" s="32">
        <f>+B39+B35</f>
        <v>15.5</v>
      </c>
      <c r="C40" s="33">
        <f t="shared" ref="C40:R40" si="16">+C39+C35</f>
        <v>15.71</v>
      </c>
      <c r="D40" s="32">
        <f t="shared" si="16"/>
        <v>16.510000000000002</v>
      </c>
      <c r="E40" s="33"/>
      <c r="F40" s="32">
        <f t="shared" si="16"/>
        <v>17.78</v>
      </c>
      <c r="G40" s="32">
        <f t="shared" si="16"/>
        <v>18.32</v>
      </c>
      <c r="H40" s="32">
        <f t="shared" si="16"/>
        <v>18.87</v>
      </c>
      <c r="I40" s="33">
        <f t="shared" si="16"/>
        <v>19.600000000000001</v>
      </c>
      <c r="J40" s="32">
        <f t="shared" si="16"/>
        <v>19.95</v>
      </c>
      <c r="K40" s="33">
        <f t="shared" si="16"/>
        <v>21.77</v>
      </c>
      <c r="L40" s="32">
        <f t="shared" si="16"/>
        <v>21.3</v>
      </c>
      <c r="M40" s="32">
        <f t="shared" si="16"/>
        <v>23.98</v>
      </c>
      <c r="N40" s="33">
        <f t="shared" si="16"/>
        <v>26.11</v>
      </c>
      <c r="O40" s="32">
        <f t="shared" si="16"/>
        <v>27.45</v>
      </c>
      <c r="P40" s="33">
        <f t="shared" si="16"/>
        <v>28.66</v>
      </c>
      <c r="Q40" s="32">
        <f t="shared" si="16"/>
        <v>32.020000000000003</v>
      </c>
      <c r="R40" s="33">
        <f t="shared" si="16"/>
        <v>32.020000000000003</v>
      </c>
    </row>
    <row r="41" spans="1:18" x14ac:dyDescent="0.25">
      <c r="C41" s="1"/>
      <c r="D41" s="1"/>
      <c r="E41" s="1"/>
      <c r="F41" s="1"/>
      <c r="G41" s="1"/>
      <c r="H41" s="1"/>
      <c r="I41" s="1"/>
      <c r="J41" s="1"/>
      <c r="K41" s="1"/>
      <c r="L41" s="1"/>
      <c r="M41" s="1"/>
      <c r="N41" s="1"/>
      <c r="O41" s="1"/>
      <c r="P41" s="1"/>
      <c r="Q41" s="1"/>
      <c r="R41" s="1"/>
    </row>
    <row r="42" spans="1:18" x14ac:dyDescent="0.25">
      <c r="C42" s="1"/>
      <c r="D42" s="1"/>
      <c r="E42" s="1"/>
      <c r="F42" s="1"/>
      <c r="G42" s="1"/>
      <c r="H42" s="1"/>
      <c r="I42" s="1"/>
      <c r="J42" s="1"/>
      <c r="K42" s="1"/>
      <c r="L42" s="1"/>
      <c r="M42" s="1"/>
      <c r="N42" s="1"/>
      <c r="O42" s="1"/>
      <c r="P42" s="1"/>
      <c r="Q42" s="1"/>
      <c r="R42" s="1"/>
    </row>
    <row r="43" spans="1:18" s="1" customFormat="1" x14ac:dyDescent="0.25"/>
    <row r="44" spans="1:18" x14ac:dyDescent="0.25">
      <c r="C44" s="1"/>
      <c r="D44" s="1"/>
      <c r="E44" s="1"/>
      <c r="F44" s="1"/>
      <c r="G44" s="1"/>
      <c r="H44" s="1"/>
      <c r="I44" s="1"/>
      <c r="J44" s="1"/>
      <c r="K44" s="1"/>
      <c r="L44" s="1"/>
      <c r="M44" s="1"/>
      <c r="N44" s="1"/>
      <c r="O44" s="1"/>
      <c r="P44" s="1"/>
      <c r="Q44" s="1"/>
      <c r="R44" s="1"/>
    </row>
    <row r="45" spans="1:18" s="89" customFormat="1" x14ac:dyDescent="0.25">
      <c r="B45" s="91" t="s">
        <v>73</v>
      </c>
    </row>
    <row r="46" spans="1:18" s="89" customFormat="1" x14ac:dyDescent="0.25">
      <c r="B46" s="91" t="s">
        <v>73</v>
      </c>
    </row>
    <row r="47" spans="1:18" s="89" customFormat="1" x14ac:dyDescent="0.25">
      <c r="B47" s="91"/>
    </row>
    <row r="48" spans="1:18" s="89" customFormat="1" x14ac:dyDescent="0.25">
      <c r="B48" s="91" t="s">
        <v>74</v>
      </c>
      <c r="C48" s="90">
        <f>4.97%</f>
        <v>4.9699999999999994E-2</v>
      </c>
    </row>
    <row r="49" spans="1:18" s="89" customFormat="1" x14ac:dyDescent="0.25">
      <c r="B49" s="91" t="s">
        <v>75</v>
      </c>
      <c r="C49" s="90">
        <f>4.4%</f>
        <v>4.4000000000000004E-2</v>
      </c>
    </row>
    <row r="50" spans="1:18" s="89" customFormat="1" x14ac:dyDescent="0.25">
      <c r="B50" s="91" t="s">
        <v>49</v>
      </c>
      <c r="C50" s="92">
        <v>0</v>
      </c>
    </row>
    <row r="51" spans="1:18" s="89" customFormat="1" x14ac:dyDescent="0.25">
      <c r="B51" s="91" t="s">
        <v>76</v>
      </c>
      <c r="C51" s="92">
        <v>0</v>
      </c>
    </row>
    <row r="52" spans="1:18" s="89" customFormat="1" x14ac:dyDescent="0.25">
      <c r="B52" s="91"/>
    </row>
    <row r="53" spans="1:18" s="89" customFormat="1" x14ac:dyDescent="0.25">
      <c r="B53" s="91" t="s">
        <v>52</v>
      </c>
    </row>
    <row r="54" spans="1:18" s="89" customFormat="1" x14ac:dyDescent="0.25">
      <c r="B54" s="91" t="s">
        <v>77</v>
      </c>
    </row>
    <row r="55" spans="1:18" s="89" customFormat="1" x14ac:dyDescent="0.25">
      <c r="B55" s="91"/>
    </row>
    <row r="56" spans="1:18" s="89" customFormat="1" x14ac:dyDescent="0.25">
      <c r="A56" s="89" t="s">
        <v>78</v>
      </c>
      <c r="B56" s="288">
        <v>2747.04</v>
      </c>
      <c r="C56" s="289">
        <v>2783.24</v>
      </c>
      <c r="D56" s="288">
        <v>2926.92</v>
      </c>
      <c r="E56" s="289"/>
      <c r="F56" s="288">
        <v>3154.69</v>
      </c>
      <c r="G56" s="288">
        <v>3252.25</v>
      </c>
      <c r="H56" s="288">
        <v>3351.14</v>
      </c>
      <c r="I56" s="289">
        <v>3481.75</v>
      </c>
      <c r="J56" s="288">
        <v>3544.11</v>
      </c>
      <c r="K56" s="289">
        <v>3870.67</v>
      </c>
      <c r="L56" s="288">
        <v>3786.28</v>
      </c>
      <c r="M56" s="288">
        <v>4265.91</v>
      </c>
      <c r="N56" s="289">
        <v>4646.88</v>
      </c>
      <c r="O56" s="288">
        <v>4887.57</v>
      </c>
      <c r="P56" s="289">
        <v>5105.26</v>
      </c>
      <c r="Q56" s="288">
        <v>5707.26</v>
      </c>
      <c r="R56" s="290">
        <v>5707.26</v>
      </c>
    </row>
    <row r="58" spans="1:18" x14ac:dyDescent="0.25">
      <c r="B58" s="287"/>
      <c r="C58" s="287"/>
      <c r="D58" s="287"/>
      <c r="F58" s="287"/>
      <c r="G58" s="287"/>
    </row>
    <row r="59" spans="1:18" x14ac:dyDescent="0.25">
      <c r="B59" s="34"/>
      <c r="C59" s="34"/>
    </row>
    <row r="60" spans="1:18" x14ac:dyDescent="0.25">
      <c r="C60" s="1"/>
      <c r="D60" s="1"/>
      <c r="F60" s="1"/>
      <c r="G60" s="1"/>
    </row>
    <row r="61" spans="1:18" x14ac:dyDescent="0.25">
      <c r="B61" s="34"/>
      <c r="C61" s="34"/>
      <c r="D61" s="34"/>
      <c r="E61" s="1"/>
      <c r="F61" s="34"/>
      <c r="G61" s="34"/>
      <c r="H61" s="1"/>
      <c r="I61" s="1"/>
      <c r="J61" s="1"/>
      <c r="K61" s="1"/>
      <c r="L61" s="1"/>
      <c r="M61" s="1"/>
      <c r="N61" s="1"/>
      <c r="O61" s="1"/>
      <c r="P61" s="1"/>
      <c r="Q61" s="1"/>
      <c r="R61" s="1"/>
    </row>
    <row r="62" spans="1:18" x14ac:dyDescent="0.25">
      <c r="B62" s="34"/>
      <c r="C62" s="34"/>
    </row>
    <row r="64" spans="1:18" x14ac:dyDescent="0.25">
      <c r="B64" s="300"/>
      <c r="C64" s="300"/>
      <c r="D64" s="300"/>
      <c r="E64" s="300"/>
      <c r="F64" s="300"/>
      <c r="G64" s="300"/>
      <c r="H64" s="300"/>
      <c r="I64" s="300"/>
      <c r="J64" s="300"/>
      <c r="K64" s="300"/>
      <c r="L64" s="300"/>
      <c r="M64" s="300"/>
      <c r="N64" s="300"/>
      <c r="O64" s="300"/>
      <c r="P64" s="300"/>
      <c r="Q64" s="300"/>
      <c r="R64" s="300"/>
    </row>
    <row r="65" spans="2:18" x14ac:dyDescent="0.25">
      <c r="C65" s="1"/>
      <c r="D65" s="1"/>
      <c r="E65" s="1"/>
      <c r="F65" s="1"/>
      <c r="G65" s="1"/>
      <c r="H65" s="1"/>
      <c r="I65" s="1"/>
      <c r="J65" s="1"/>
      <c r="K65" s="1"/>
      <c r="L65" s="1"/>
      <c r="M65" s="1"/>
      <c r="N65" s="1"/>
      <c r="O65" s="1"/>
      <c r="P65" s="1"/>
      <c r="Q65" s="1"/>
      <c r="R65" s="1"/>
    </row>
    <row r="66" spans="2:18" x14ac:dyDescent="0.25">
      <c r="C66" s="1"/>
      <c r="D66" s="1"/>
      <c r="E66" s="1"/>
      <c r="F66" s="1"/>
      <c r="G66" s="1"/>
      <c r="H66" s="1"/>
      <c r="I66" s="1"/>
      <c r="J66" s="1"/>
      <c r="K66" s="1"/>
      <c r="L66" s="1"/>
      <c r="M66" s="1"/>
      <c r="N66" s="1"/>
      <c r="O66" s="1"/>
      <c r="P66" s="1"/>
      <c r="Q66" s="1"/>
      <c r="R66" s="1"/>
    </row>
    <row r="67" spans="2:18" x14ac:dyDescent="0.25">
      <c r="B67" s="34"/>
      <c r="C67" s="34"/>
      <c r="D67" s="34"/>
      <c r="E67" s="34"/>
      <c r="F67" s="34"/>
      <c r="G67" s="34"/>
      <c r="H67" s="34"/>
      <c r="I67" s="34"/>
      <c r="J67" s="34"/>
      <c r="K67" s="34"/>
      <c r="L67" s="34"/>
      <c r="M67" s="34"/>
      <c r="N67" s="34"/>
      <c r="O67" s="34"/>
      <c r="P67" s="34"/>
      <c r="Q67" s="34"/>
      <c r="R67" s="34"/>
    </row>
  </sheetData>
  <conditionalFormatting sqref="B2">
    <cfRule type="expression" dxfId="1" priority="1">
      <formula>B1="Generale"</formula>
    </cfRule>
  </conditionalFormatting>
  <dataValidations count="2">
    <dataValidation type="list" allowBlank="1" showInputMessage="1" showErrorMessage="1" sqref="B5" xr:uid="{00000000-0002-0000-0800-000000000000}">
      <formula1>$B$53:$B$54</formula1>
    </dataValidation>
    <dataValidation type="list" allowBlank="1" showInputMessage="1" showErrorMessage="1" sqref="B1" xr:uid="{00000000-0002-0000-0800-000001000000}">
      <formula1>$B$45:$B$46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67"/>
  <sheetViews>
    <sheetView workbookViewId="0">
      <selection activeCell="N3" sqref="N3"/>
    </sheetView>
  </sheetViews>
  <sheetFormatPr defaultRowHeight="15" x14ac:dyDescent="0.25"/>
  <cols>
    <col min="1" max="1" width="44.28515625" bestFit="1" customWidth="1"/>
    <col min="2" max="2" width="9.140625" style="1"/>
    <col min="4" max="4" width="11.140625" bestFit="1" customWidth="1"/>
    <col min="9" max="9" width="13.28515625" bestFit="1" customWidth="1"/>
  </cols>
  <sheetData>
    <row r="1" spans="1:19" x14ac:dyDescent="0.25">
      <c r="A1" t="s">
        <v>47</v>
      </c>
      <c r="B1" s="2" t="s">
        <v>73</v>
      </c>
    </row>
    <row r="2" spans="1:19" x14ac:dyDescent="0.25">
      <c r="A2" t="s">
        <v>48</v>
      </c>
      <c r="B2" s="2" t="str">
        <f>+INPUT!C2</f>
        <v>Sicilia</v>
      </c>
    </row>
    <row r="3" spans="1:19" x14ac:dyDescent="0.25">
      <c r="A3" t="s">
        <v>50</v>
      </c>
      <c r="B3" s="3">
        <f>+IF(B1="Generale",0.039,INDEX(C48:C51,MATCH(B2,B48:B51,0)))</f>
        <v>0</v>
      </c>
    </row>
    <row r="4" spans="1:19" x14ac:dyDescent="0.25">
      <c r="B4" s="3"/>
    </row>
    <row r="5" spans="1:19" x14ac:dyDescent="0.25">
      <c r="A5" t="s">
        <v>51</v>
      </c>
      <c r="B5" s="4" t="s">
        <v>77</v>
      </c>
    </row>
    <row r="6" spans="1:19" x14ac:dyDescent="0.25">
      <c r="A6" t="s">
        <v>128</v>
      </c>
      <c r="B6">
        <v>1548</v>
      </c>
      <c r="C6">
        <v>1548</v>
      </c>
    </row>
    <row r="7" spans="1:19" x14ac:dyDescent="0.25">
      <c r="B7"/>
    </row>
    <row r="8" spans="1:19" ht="15.75" thickBot="1" x14ac:dyDescent="0.3">
      <c r="B8" s="287"/>
    </row>
    <row r="9" spans="1:19" s="158" customFormat="1" x14ac:dyDescent="0.25">
      <c r="A9" s="231" t="s">
        <v>53</v>
      </c>
      <c r="B9" s="6" t="s">
        <v>4</v>
      </c>
      <c r="C9" s="233" t="s">
        <v>5</v>
      </c>
      <c r="D9" s="8" t="s">
        <v>3</v>
      </c>
      <c r="E9" s="233" t="s">
        <v>6</v>
      </c>
      <c r="F9" s="8" t="s">
        <v>2</v>
      </c>
      <c r="G9" s="8" t="s">
        <v>1</v>
      </c>
      <c r="H9" s="8" t="s">
        <v>7</v>
      </c>
      <c r="I9" s="233" t="s">
        <v>8</v>
      </c>
      <c r="J9" s="8" t="s">
        <v>0</v>
      </c>
      <c r="K9" s="233" t="s">
        <v>9</v>
      </c>
      <c r="L9" s="8" t="s">
        <v>10</v>
      </c>
      <c r="M9" s="8" t="s">
        <v>11</v>
      </c>
      <c r="N9" s="233" t="s">
        <v>12</v>
      </c>
      <c r="O9" s="8" t="s">
        <v>13</v>
      </c>
      <c r="P9" s="233" t="s">
        <v>14</v>
      </c>
      <c r="Q9" s="8" t="s">
        <v>15</v>
      </c>
      <c r="R9" s="232" t="s">
        <v>16</v>
      </c>
    </row>
    <row r="10" spans="1:19" x14ac:dyDescent="0.25">
      <c r="A10" s="11" t="s">
        <v>54</v>
      </c>
      <c r="B10" s="288">
        <v>1254.5899999999999</v>
      </c>
      <c r="C10" s="289">
        <v>1266.21</v>
      </c>
      <c r="D10" s="288">
        <v>1325.21</v>
      </c>
      <c r="E10" s="289"/>
      <c r="F10" s="288">
        <v>1425.21</v>
      </c>
      <c r="G10" s="288">
        <v>1467.9</v>
      </c>
      <c r="H10" s="288">
        <v>1511.25</v>
      </c>
      <c r="I10" s="289">
        <v>1511.25</v>
      </c>
      <c r="J10" s="288">
        <v>1594.15</v>
      </c>
      <c r="K10" s="289">
        <v>1594.15</v>
      </c>
      <c r="L10" s="288">
        <v>1697.04</v>
      </c>
      <c r="M10" s="288">
        <v>1831.74</v>
      </c>
      <c r="N10" s="289">
        <v>1831.74</v>
      </c>
      <c r="O10" s="288">
        <v>2023.07</v>
      </c>
      <c r="P10" s="289">
        <v>2023.07</v>
      </c>
      <c r="Q10" s="288">
        <v>2310.41</v>
      </c>
      <c r="R10" s="290">
        <v>2310.41</v>
      </c>
      <c r="S10" s="1"/>
    </row>
    <row r="11" spans="1:19" x14ac:dyDescent="0.25">
      <c r="A11" s="11" t="s">
        <v>55</v>
      </c>
      <c r="B11" s="291">
        <v>34.86</v>
      </c>
      <c r="C11" s="292">
        <v>40.29</v>
      </c>
      <c r="D11" s="293">
        <v>48.81</v>
      </c>
      <c r="E11" s="292"/>
      <c r="F11" s="293">
        <v>55.77</v>
      </c>
      <c r="G11" s="293">
        <v>58.89</v>
      </c>
      <c r="H11" s="293">
        <v>61.98</v>
      </c>
      <c r="I11" s="292">
        <v>61.98</v>
      </c>
      <c r="J11" s="293">
        <v>69.72</v>
      </c>
      <c r="K11" s="292">
        <v>69.72</v>
      </c>
      <c r="L11" s="293">
        <v>80.58</v>
      </c>
      <c r="M11" s="293">
        <v>94.5</v>
      </c>
      <c r="N11" s="292">
        <v>94.5</v>
      </c>
      <c r="O11" s="293">
        <v>118.53</v>
      </c>
      <c r="P11" s="292">
        <v>118.53</v>
      </c>
      <c r="Q11" s="293">
        <v>139.44</v>
      </c>
      <c r="R11" s="294">
        <v>139.44</v>
      </c>
      <c r="S11" s="1"/>
    </row>
    <row r="12" spans="1:19" x14ac:dyDescent="0.25">
      <c r="A12" s="11" t="s">
        <v>56</v>
      </c>
      <c r="B12" s="291"/>
      <c r="C12" s="289"/>
      <c r="D12" s="288"/>
      <c r="E12" s="289"/>
      <c r="F12" s="288"/>
      <c r="G12" s="288"/>
      <c r="H12" s="288"/>
      <c r="I12" s="292">
        <v>61.97</v>
      </c>
      <c r="J12" s="288"/>
      <c r="K12" s="292">
        <v>154.94</v>
      </c>
      <c r="L12" s="288"/>
      <c r="M12" s="288"/>
      <c r="N12" s="292">
        <v>258.23</v>
      </c>
      <c r="O12" s="288"/>
      <c r="P12" s="292">
        <v>258.23</v>
      </c>
      <c r="Q12" s="288"/>
      <c r="R12" s="294">
        <v>232.41</v>
      </c>
      <c r="S12" s="1"/>
    </row>
    <row r="13" spans="1:19" x14ac:dyDescent="0.25">
      <c r="A13" s="11" t="s">
        <v>57</v>
      </c>
      <c r="B13" s="291"/>
      <c r="C13" s="289"/>
      <c r="D13" s="288"/>
      <c r="E13" s="292"/>
      <c r="F13" s="288"/>
      <c r="G13" s="288"/>
      <c r="H13" s="288"/>
      <c r="I13" s="289"/>
      <c r="J13" s="288"/>
      <c r="K13" s="289"/>
      <c r="L13" s="288"/>
      <c r="M13" s="293">
        <v>77.47</v>
      </c>
      <c r="N13" s="289"/>
      <c r="O13" s="293">
        <v>154.94</v>
      </c>
      <c r="P13" s="289"/>
      <c r="Q13" s="293">
        <v>232.41</v>
      </c>
      <c r="R13" s="290"/>
      <c r="S13" s="1"/>
    </row>
    <row r="14" spans="1:19" x14ac:dyDescent="0.25">
      <c r="A14" s="11" t="s">
        <v>58</v>
      </c>
      <c r="B14" s="291">
        <v>31.99</v>
      </c>
      <c r="C14" s="292">
        <v>32.29</v>
      </c>
      <c r="D14" s="293">
        <v>33.79</v>
      </c>
      <c r="E14" s="292"/>
      <c r="F14" s="293">
        <v>36.340000000000003</v>
      </c>
      <c r="G14" s="293">
        <v>37.43</v>
      </c>
      <c r="H14" s="293">
        <v>38.54</v>
      </c>
      <c r="I14" s="292">
        <v>38.54</v>
      </c>
      <c r="J14" s="293">
        <v>40.65</v>
      </c>
      <c r="K14" s="292">
        <v>40.65</v>
      </c>
      <c r="L14" s="293">
        <v>43.27</v>
      </c>
      <c r="M14" s="293">
        <v>46.71</v>
      </c>
      <c r="N14" s="292">
        <v>46.71</v>
      </c>
      <c r="O14" s="293">
        <v>51.59</v>
      </c>
      <c r="P14" s="292">
        <v>51.59</v>
      </c>
      <c r="Q14" s="293">
        <v>58.92</v>
      </c>
      <c r="R14" s="294">
        <v>58.92</v>
      </c>
      <c r="S14" s="1"/>
    </row>
    <row r="15" spans="1:19" x14ac:dyDescent="0.25">
      <c r="B15" s="19"/>
      <c r="C15" s="295"/>
      <c r="D15" s="22"/>
      <c r="F15" s="22"/>
      <c r="G15" s="22"/>
      <c r="H15" s="22"/>
      <c r="I15" s="1"/>
      <c r="J15" s="22"/>
      <c r="K15" s="1"/>
      <c r="L15" s="22"/>
      <c r="M15" s="22"/>
      <c r="N15" s="1"/>
      <c r="O15" s="22"/>
      <c r="P15" s="1"/>
      <c r="Q15" s="22"/>
      <c r="R15" s="1"/>
    </row>
    <row r="16" spans="1:19" x14ac:dyDescent="0.25">
      <c r="A16" s="11" t="s">
        <v>59</v>
      </c>
      <c r="B16" s="12">
        <f>+SUM(B10:B14)</f>
        <v>1321.4399999999998</v>
      </c>
      <c r="C16" s="13">
        <f t="shared" ref="C16:R16" si="0">+SUM(C10:C14)</f>
        <v>1338.79</v>
      </c>
      <c r="D16" s="12">
        <f t="shared" si="0"/>
        <v>1407.81</v>
      </c>
      <c r="E16" s="13">
        <f t="shared" si="0"/>
        <v>0</v>
      </c>
      <c r="F16" s="12">
        <f t="shared" si="0"/>
        <v>1517.32</v>
      </c>
      <c r="G16" s="12">
        <f t="shared" si="0"/>
        <v>1564.2200000000003</v>
      </c>
      <c r="H16" s="12">
        <f t="shared" si="0"/>
        <v>1611.77</v>
      </c>
      <c r="I16" s="13">
        <f t="shared" si="0"/>
        <v>1673.74</v>
      </c>
      <c r="J16" s="12">
        <f t="shared" si="0"/>
        <v>1704.5200000000002</v>
      </c>
      <c r="K16" s="13">
        <f t="shared" si="0"/>
        <v>1859.4600000000003</v>
      </c>
      <c r="L16" s="12">
        <f t="shared" si="0"/>
        <v>1820.8899999999999</v>
      </c>
      <c r="M16" s="12">
        <f t="shared" si="0"/>
        <v>2050.42</v>
      </c>
      <c r="N16" s="13">
        <f t="shared" si="0"/>
        <v>2231.1800000000003</v>
      </c>
      <c r="O16" s="12">
        <f t="shared" si="0"/>
        <v>2348.13</v>
      </c>
      <c r="P16" s="13">
        <f t="shared" si="0"/>
        <v>2451.42</v>
      </c>
      <c r="Q16" s="12">
        <f t="shared" si="0"/>
        <v>2741.18</v>
      </c>
      <c r="R16" s="14">
        <f t="shared" si="0"/>
        <v>2741.18</v>
      </c>
    </row>
    <row r="17" spans="1:18" x14ac:dyDescent="0.25">
      <c r="A17" s="296" t="s">
        <v>60</v>
      </c>
      <c r="B17" s="297">
        <f>+B16*13</f>
        <v>17178.719999999998</v>
      </c>
      <c r="C17" s="298">
        <f t="shared" ref="C17:R17" si="1">+C16*13</f>
        <v>17404.27</v>
      </c>
      <c r="D17" s="297">
        <f t="shared" si="1"/>
        <v>18301.53</v>
      </c>
      <c r="E17" s="298">
        <f t="shared" si="1"/>
        <v>0</v>
      </c>
      <c r="F17" s="297">
        <f t="shared" si="1"/>
        <v>19725.16</v>
      </c>
      <c r="G17" s="297">
        <f t="shared" si="1"/>
        <v>20334.860000000004</v>
      </c>
      <c r="H17" s="297">
        <f t="shared" si="1"/>
        <v>20953.009999999998</v>
      </c>
      <c r="I17" s="298">
        <f t="shared" si="1"/>
        <v>21758.62</v>
      </c>
      <c r="J17" s="297">
        <f t="shared" si="1"/>
        <v>22158.760000000002</v>
      </c>
      <c r="K17" s="298">
        <f t="shared" si="1"/>
        <v>24172.980000000003</v>
      </c>
      <c r="L17" s="297">
        <f t="shared" si="1"/>
        <v>23671.57</v>
      </c>
      <c r="M17" s="297">
        <f t="shared" si="1"/>
        <v>26655.46</v>
      </c>
      <c r="N17" s="298">
        <f t="shared" si="1"/>
        <v>29005.340000000004</v>
      </c>
      <c r="O17" s="297">
        <f t="shared" si="1"/>
        <v>30525.690000000002</v>
      </c>
      <c r="P17" s="298">
        <f t="shared" si="1"/>
        <v>31868.46</v>
      </c>
      <c r="Q17" s="297">
        <f t="shared" si="1"/>
        <v>35635.339999999997</v>
      </c>
      <c r="R17" s="299">
        <f t="shared" si="1"/>
        <v>35635.339999999997</v>
      </c>
    </row>
    <row r="18" spans="1:18" x14ac:dyDescent="0.25">
      <c r="B18" s="22"/>
      <c r="D18" s="21"/>
      <c r="F18" s="21"/>
      <c r="G18" s="21"/>
      <c r="H18" s="21"/>
      <c r="J18" s="21"/>
      <c r="L18" s="21"/>
      <c r="M18" s="21"/>
      <c r="O18" s="21"/>
      <c r="Q18" s="21"/>
    </row>
    <row r="19" spans="1:18" x14ac:dyDescent="0.25">
      <c r="A19" s="11" t="s">
        <v>61</v>
      </c>
      <c r="B19" s="12"/>
      <c r="C19" s="23"/>
      <c r="D19" s="24"/>
      <c r="E19" s="23"/>
      <c r="F19" s="24"/>
      <c r="G19" s="24"/>
      <c r="H19" s="24"/>
      <c r="I19" s="23"/>
      <c r="J19" s="24"/>
      <c r="K19" s="23"/>
      <c r="L19" s="24"/>
      <c r="M19" s="24"/>
      <c r="N19" s="23"/>
      <c r="O19" s="24"/>
      <c r="P19" s="23"/>
      <c r="Q19" s="24"/>
      <c r="R19" s="25"/>
    </row>
    <row r="20" spans="1:18" x14ac:dyDescent="0.25">
      <c r="A20" s="11" t="s">
        <v>315</v>
      </c>
      <c r="B20" s="15">
        <f>+B17*0.2733</f>
        <v>4694.9441759999991</v>
      </c>
      <c r="C20" s="26">
        <f t="shared" ref="C20:R20" si="2">+C17*0.2733</f>
        <v>4756.5869910000001</v>
      </c>
      <c r="D20" s="15">
        <f t="shared" si="2"/>
        <v>5001.8081489999995</v>
      </c>
      <c r="E20" s="26"/>
      <c r="F20" s="15">
        <f t="shared" si="2"/>
        <v>5390.8862279999994</v>
      </c>
      <c r="G20" s="15">
        <f t="shared" si="2"/>
        <v>5557.5172380000013</v>
      </c>
      <c r="H20" s="15">
        <f t="shared" si="2"/>
        <v>5726.4576329999991</v>
      </c>
      <c r="I20" s="26">
        <f t="shared" si="2"/>
        <v>5946.6308459999991</v>
      </c>
      <c r="J20" s="15">
        <f t="shared" si="2"/>
        <v>6055.9891080000007</v>
      </c>
      <c r="K20" s="26">
        <f t="shared" si="2"/>
        <v>6606.4754340000009</v>
      </c>
      <c r="L20" s="15">
        <f t="shared" si="2"/>
        <v>6469.4400809999997</v>
      </c>
      <c r="M20" s="15">
        <f t="shared" si="2"/>
        <v>7284.9372179999991</v>
      </c>
      <c r="N20" s="26">
        <f t="shared" si="2"/>
        <v>7927.1594220000006</v>
      </c>
      <c r="O20" s="15">
        <f t="shared" si="2"/>
        <v>8342.6710770000009</v>
      </c>
      <c r="P20" s="26">
        <f t="shared" si="2"/>
        <v>8709.6501179999996</v>
      </c>
      <c r="Q20" s="15">
        <f t="shared" si="2"/>
        <v>9739.1384219999982</v>
      </c>
      <c r="R20" s="27">
        <f t="shared" si="2"/>
        <v>9739.1384219999982</v>
      </c>
    </row>
    <row r="21" spans="1:18" x14ac:dyDescent="0.25">
      <c r="A21" s="11" t="s">
        <v>63</v>
      </c>
      <c r="B21" s="15">
        <f>+B17*0.03</f>
        <v>515.36159999999995</v>
      </c>
      <c r="C21" s="26">
        <f t="shared" ref="C21:R21" si="3">+C17*0.03</f>
        <v>522.12810000000002</v>
      </c>
      <c r="D21" s="15">
        <f t="shared" si="3"/>
        <v>549.04589999999996</v>
      </c>
      <c r="E21" s="26"/>
      <c r="F21" s="15">
        <f t="shared" si="3"/>
        <v>591.75479999999993</v>
      </c>
      <c r="G21" s="15">
        <f t="shared" si="3"/>
        <v>610.0458000000001</v>
      </c>
      <c r="H21" s="15">
        <f t="shared" si="3"/>
        <v>628.59029999999996</v>
      </c>
      <c r="I21" s="26">
        <f t="shared" si="3"/>
        <v>652.7586</v>
      </c>
      <c r="J21" s="15">
        <f t="shared" si="3"/>
        <v>664.76280000000008</v>
      </c>
      <c r="K21" s="26">
        <f t="shared" si="3"/>
        <v>725.18940000000009</v>
      </c>
      <c r="L21" s="15">
        <f t="shared" si="3"/>
        <v>710.14709999999991</v>
      </c>
      <c r="M21" s="15">
        <f t="shared" si="3"/>
        <v>799.66379999999992</v>
      </c>
      <c r="N21" s="26">
        <f t="shared" si="3"/>
        <v>870.16020000000003</v>
      </c>
      <c r="O21" s="15">
        <f t="shared" si="3"/>
        <v>915.77070000000003</v>
      </c>
      <c r="P21" s="26">
        <f t="shared" si="3"/>
        <v>956.05379999999991</v>
      </c>
      <c r="Q21" s="15">
        <f t="shared" si="3"/>
        <v>1069.0601999999999</v>
      </c>
      <c r="R21" s="27">
        <f t="shared" si="3"/>
        <v>1069.0601999999999</v>
      </c>
    </row>
    <row r="22" spans="1:18" x14ac:dyDescent="0.25">
      <c r="A22" s="11" t="s">
        <v>64</v>
      </c>
      <c r="B22" s="12">
        <f>+B21+B20</f>
        <v>5210.3057759999992</v>
      </c>
      <c r="C22" s="13">
        <f t="shared" ref="C22:R22" si="4">+C21+C20</f>
        <v>5278.715091</v>
      </c>
      <c r="D22" s="12">
        <f t="shared" si="4"/>
        <v>5550.8540489999996</v>
      </c>
      <c r="E22" s="13"/>
      <c r="F22" s="12">
        <f t="shared" si="4"/>
        <v>5982.6410279999991</v>
      </c>
      <c r="G22" s="12">
        <f t="shared" si="4"/>
        <v>6167.5630380000011</v>
      </c>
      <c r="H22" s="12">
        <f t="shared" si="4"/>
        <v>6355.0479329999989</v>
      </c>
      <c r="I22" s="13">
        <f t="shared" si="4"/>
        <v>6599.3894459999992</v>
      </c>
      <c r="J22" s="12">
        <f t="shared" si="4"/>
        <v>6720.7519080000011</v>
      </c>
      <c r="K22" s="13">
        <f t="shared" si="4"/>
        <v>7331.6648340000011</v>
      </c>
      <c r="L22" s="12">
        <f t="shared" si="4"/>
        <v>7179.5871809999999</v>
      </c>
      <c r="M22" s="12">
        <f t="shared" si="4"/>
        <v>8084.6010179999994</v>
      </c>
      <c r="N22" s="13">
        <f t="shared" si="4"/>
        <v>8797.3196220000009</v>
      </c>
      <c r="O22" s="12">
        <f t="shared" si="4"/>
        <v>9258.441777</v>
      </c>
      <c r="P22" s="13">
        <f t="shared" si="4"/>
        <v>9665.7039179999992</v>
      </c>
      <c r="Q22" s="12">
        <f t="shared" si="4"/>
        <v>10808.198621999998</v>
      </c>
      <c r="R22" s="14">
        <f t="shared" si="4"/>
        <v>10808.198621999998</v>
      </c>
    </row>
    <row r="23" spans="1:18" x14ac:dyDescent="0.25">
      <c r="B23" s="22"/>
      <c r="D23" s="21"/>
      <c r="F23" s="21"/>
      <c r="G23" s="21"/>
      <c r="H23" s="21"/>
      <c r="J23" s="21"/>
      <c r="L23" s="21"/>
      <c r="M23" s="21"/>
      <c r="O23" s="21"/>
      <c r="Q23" s="21"/>
    </row>
    <row r="24" spans="1:18" x14ac:dyDescent="0.25">
      <c r="A24" t="s">
        <v>316</v>
      </c>
      <c r="B24" s="22">
        <v>200</v>
      </c>
      <c r="C24">
        <v>200</v>
      </c>
      <c r="D24" s="21">
        <v>200</v>
      </c>
      <c r="F24" s="21">
        <v>200</v>
      </c>
      <c r="G24" s="21">
        <v>200</v>
      </c>
      <c r="H24" s="21">
        <v>200</v>
      </c>
      <c r="I24">
        <v>200</v>
      </c>
      <c r="J24" s="21">
        <v>200</v>
      </c>
      <c r="K24">
        <v>200</v>
      </c>
      <c r="L24" s="21">
        <v>200</v>
      </c>
      <c r="M24" s="21">
        <v>200</v>
      </c>
      <c r="N24">
        <v>200</v>
      </c>
      <c r="O24" s="21">
        <v>200</v>
      </c>
      <c r="P24">
        <v>200</v>
      </c>
      <c r="Q24" s="21">
        <v>200</v>
      </c>
      <c r="R24">
        <v>200</v>
      </c>
    </row>
    <row r="25" spans="1:18" x14ac:dyDescent="0.25">
      <c r="A25" s="11" t="s">
        <v>65</v>
      </c>
      <c r="B25" s="12">
        <f>+B16*0.962962</f>
        <v>1272.4965052799998</v>
      </c>
      <c r="C25" s="13">
        <f t="shared" ref="C25:R25" si="5">+C16*0.962962</f>
        <v>1289.20389598</v>
      </c>
      <c r="D25" s="12">
        <f t="shared" si="5"/>
        <v>1355.66753322</v>
      </c>
      <c r="E25" s="13"/>
      <c r="F25" s="12">
        <f t="shared" si="5"/>
        <v>1461.1215018399998</v>
      </c>
      <c r="G25" s="12">
        <f t="shared" si="5"/>
        <v>1506.2844196400001</v>
      </c>
      <c r="H25" s="12">
        <f t="shared" si="5"/>
        <v>1552.07326274</v>
      </c>
      <c r="I25" s="13">
        <f t="shared" si="5"/>
        <v>1611.7480178799999</v>
      </c>
      <c r="J25" s="12">
        <f t="shared" si="5"/>
        <v>1641.3879882400001</v>
      </c>
      <c r="K25" s="13">
        <f t="shared" si="5"/>
        <v>1790.5893205200002</v>
      </c>
      <c r="L25" s="12">
        <f t="shared" si="5"/>
        <v>1753.4478761799999</v>
      </c>
      <c r="M25" s="12">
        <f t="shared" si="5"/>
        <v>1974.4765440400001</v>
      </c>
      <c r="N25" s="13">
        <f t="shared" si="5"/>
        <v>2148.5415551600004</v>
      </c>
      <c r="O25" s="12">
        <f t="shared" si="5"/>
        <v>2261.1599610600001</v>
      </c>
      <c r="P25" s="13">
        <f t="shared" si="5"/>
        <v>2360.6243060400002</v>
      </c>
      <c r="Q25" s="12">
        <f t="shared" si="5"/>
        <v>2639.6521751599998</v>
      </c>
      <c r="R25" s="14">
        <f t="shared" si="5"/>
        <v>2639.6521751599998</v>
      </c>
    </row>
    <row r="26" spans="1:18" x14ac:dyDescent="0.25">
      <c r="A26" s="11" t="s">
        <v>320</v>
      </c>
      <c r="B26" s="15">
        <f>+B25*0.018673*6</f>
        <v>142.56796345856063</v>
      </c>
      <c r="C26" s="26">
        <f t="shared" ref="C26:R26" si="6">+C25*0.018673*6</f>
        <v>144.43982609780721</v>
      </c>
      <c r="D26" s="15">
        <f t="shared" si="6"/>
        <v>151.88627908690233</v>
      </c>
      <c r="E26" s="26">
        <f t="shared" si="6"/>
        <v>0</v>
      </c>
      <c r="F26" s="15">
        <f t="shared" si="6"/>
        <v>163.70113082314987</v>
      </c>
      <c r="G26" s="15">
        <f t="shared" si="6"/>
        <v>168.76109380762634</v>
      </c>
      <c r="H26" s="15">
        <f t="shared" si="6"/>
        <v>173.89118421086411</v>
      </c>
      <c r="I26" s="26">
        <f t="shared" si="6"/>
        <v>180.57702442723942</v>
      </c>
      <c r="J26" s="15">
        <f t="shared" si="6"/>
        <v>183.89782742643311</v>
      </c>
      <c r="K26" s="26">
        <f t="shared" si="6"/>
        <v>200.61404629241977</v>
      </c>
      <c r="L26" s="15">
        <f t="shared" si="6"/>
        <v>196.45279315145481</v>
      </c>
      <c r="M26" s="15">
        <f t="shared" si="6"/>
        <v>221.21640304115351</v>
      </c>
      <c r="N26" s="26">
        <f t="shared" si="6"/>
        <v>240.7182987570161</v>
      </c>
      <c r="O26" s="15">
        <f t="shared" si="6"/>
        <v>253.33583971724028</v>
      </c>
      <c r="P26" s="26">
        <f t="shared" si="6"/>
        <v>264.47962600010953</v>
      </c>
      <c r="Q26" s="15">
        <f t="shared" si="6"/>
        <v>295.74135040057604</v>
      </c>
      <c r="R26" s="27">
        <f t="shared" si="6"/>
        <v>295.74135040057604</v>
      </c>
    </row>
    <row r="27" spans="1:18" x14ac:dyDescent="0.25">
      <c r="A27" s="11" t="s">
        <v>318</v>
      </c>
      <c r="B27" s="15">
        <f>+B17*0.015</f>
        <v>257.68079999999998</v>
      </c>
      <c r="C27" s="26">
        <f t="shared" ref="C27:R27" si="7">+C17*0.015</f>
        <v>261.06405000000001</v>
      </c>
      <c r="D27" s="15">
        <f t="shared" si="7"/>
        <v>274.52294999999998</v>
      </c>
      <c r="E27" s="26"/>
      <c r="F27" s="15">
        <f t="shared" si="7"/>
        <v>295.87739999999997</v>
      </c>
      <c r="G27" s="15">
        <f t="shared" si="7"/>
        <v>305.02290000000005</v>
      </c>
      <c r="H27" s="15">
        <f t="shared" si="7"/>
        <v>314.29514999999998</v>
      </c>
      <c r="I27" s="26">
        <f t="shared" si="7"/>
        <v>326.3793</v>
      </c>
      <c r="J27" s="15">
        <f t="shared" si="7"/>
        <v>332.38140000000004</v>
      </c>
      <c r="K27" s="26">
        <f t="shared" si="7"/>
        <v>362.59470000000005</v>
      </c>
      <c r="L27" s="15">
        <f t="shared" si="7"/>
        <v>355.07354999999995</v>
      </c>
      <c r="M27" s="15">
        <f t="shared" si="7"/>
        <v>399.83189999999996</v>
      </c>
      <c r="N27" s="26">
        <f t="shared" si="7"/>
        <v>435.08010000000002</v>
      </c>
      <c r="O27" s="15">
        <f t="shared" si="7"/>
        <v>457.88535000000002</v>
      </c>
      <c r="P27" s="26">
        <f t="shared" si="7"/>
        <v>478.02689999999996</v>
      </c>
      <c r="Q27" s="15">
        <f t="shared" si="7"/>
        <v>534.53009999999995</v>
      </c>
      <c r="R27" s="27">
        <f t="shared" si="7"/>
        <v>534.53009999999995</v>
      </c>
    </row>
    <row r="28" spans="1:18" x14ac:dyDescent="0.25">
      <c r="A28" s="11" t="s">
        <v>68</v>
      </c>
      <c r="B28" s="28">
        <v>66</v>
      </c>
      <c r="C28" s="29">
        <v>66</v>
      </c>
      <c r="D28" s="28">
        <v>66</v>
      </c>
      <c r="E28" s="29"/>
      <c r="F28" s="28">
        <v>66</v>
      </c>
      <c r="G28" s="28">
        <v>66</v>
      </c>
      <c r="H28" s="28">
        <v>66</v>
      </c>
      <c r="I28" s="29">
        <v>66</v>
      </c>
      <c r="J28" s="28">
        <v>66</v>
      </c>
      <c r="K28" s="29">
        <v>66</v>
      </c>
      <c r="L28" s="28">
        <v>66</v>
      </c>
      <c r="M28" s="28">
        <v>66</v>
      </c>
      <c r="N28" s="29">
        <v>66</v>
      </c>
      <c r="O28" s="28">
        <v>66</v>
      </c>
      <c r="P28" s="29">
        <v>66</v>
      </c>
      <c r="Q28" s="28">
        <v>66</v>
      </c>
      <c r="R28" s="30">
        <v>66</v>
      </c>
    </row>
    <row r="29" spans="1:18" x14ac:dyDescent="0.25">
      <c r="B29" s="22"/>
      <c r="D29" s="21"/>
      <c r="F29" s="21"/>
      <c r="G29" s="21"/>
      <c r="H29" s="21"/>
      <c r="J29" s="21"/>
      <c r="L29" s="21"/>
      <c r="M29" s="21"/>
      <c r="O29" s="21"/>
      <c r="Q29" s="21"/>
    </row>
    <row r="30" spans="1:18" x14ac:dyDescent="0.25">
      <c r="A30" s="11" t="s">
        <v>69</v>
      </c>
      <c r="B30" s="12">
        <f>+B17+B22+B25+B26+B27+B28+B24</f>
        <v>24327.771044738554</v>
      </c>
      <c r="C30" s="13">
        <f t="shared" ref="C30:R30" si="8">+C17+C22+C25+C26+C27+C28+C24</f>
        <v>24643.692863077813</v>
      </c>
      <c r="D30" s="12">
        <f t="shared" si="8"/>
        <v>25900.460811306901</v>
      </c>
      <c r="E30" s="13"/>
      <c r="F30" s="12">
        <f t="shared" si="8"/>
        <v>27894.501060663148</v>
      </c>
      <c r="G30" s="12">
        <f t="shared" si="8"/>
        <v>28748.49145144763</v>
      </c>
      <c r="H30" s="12">
        <f t="shared" si="8"/>
        <v>29614.317529950862</v>
      </c>
      <c r="I30" s="13">
        <f t="shared" si="8"/>
        <v>30742.713788307236</v>
      </c>
      <c r="J30" s="12">
        <f t="shared" si="8"/>
        <v>31303.179123666436</v>
      </c>
      <c r="K30" s="13">
        <f t="shared" si="8"/>
        <v>34124.442900812428</v>
      </c>
      <c r="L30" s="12">
        <f t="shared" si="8"/>
        <v>33422.131400331455</v>
      </c>
      <c r="M30" s="12">
        <f t="shared" si="8"/>
        <v>37601.58586508115</v>
      </c>
      <c r="N30" s="13">
        <f t="shared" si="8"/>
        <v>40892.999575917027</v>
      </c>
      <c r="O30" s="12">
        <f t="shared" si="8"/>
        <v>43022.512927777243</v>
      </c>
      <c r="P30" s="13">
        <f t="shared" si="8"/>
        <v>44903.294750040106</v>
      </c>
      <c r="Q30" s="12">
        <f t="shared" si="8"/>
        <v>50179.462247560572</v>
      </c>
      <c r="R30" s="14">
        <f t="shared" si="8"/>
        <v>50179.462247560572</v>
      </c>
    </row>
    <row r="31" spans="1:18" x14ac:dyDescent="0.25">
      <c r="A31" s="11" t="s">
        <v>51</v>
      </c>
      <c r="B31" s="12">
        <f>+IF($B$5="Si",B56,0)</f>
        <v>0</v>
      </c>
      <c r="C31" s="13">
        <f t="shared" ref="C31:R31" si="9">+IF($B$5="Si",C56,0)</f>
        <v>0</v>
      </c>
      <c r="D31" s="12">
        <f t="shared" si="9"/>
        <v>0</v>
      </c>
      <c r="E31" s="13"/>
      <c r="F31" s="12">
        <f t="shared" si="9"/>
        <v>0</v>
      </c>
      <c r="G31" s="12">
        <f t="shared" si="9"/>
        <v>0</v>
      </c>
      <c r="H31" s="12">
        <f t="shared" si="9"/>
        <v>0</v>
      </c>
      <c r="I31" s="13">
        <f t="shared" si="9"/>
        <v>0</v>
      </c>
      <c r="J31" s="12">
        <f t="shared" si="9"/>
        <v>0</v>
      </c>
      <c r="K31" s="13">
        <f t="shared" si="9"/>
        <v>0</v>
      </c>
      <c r="L31" s="12">
        <f t="shared" si="9"/>
        <v>0</v>
      </c>
      <c r="M31" s="12">
        <f t="shared" si="9"/>
        <v>0</v>
      </c>
      <c r="N31" s="13">
        <f t="shared" si="9"/>
        <v>0</v>
      </c>
      <c r="O31" s="12">
        <f t="shared" si="9"/>
        <v>0</v>
      </c>
      <c r="P31" s="13">
        <f t="shared" si="9"/>
        <v>0</v>
      </c>
      <c r="Q31" s="12">
        <f t="shared" si="9"/>
        <v>0</v>
      </c>
      <c r="R31" s="14">
        <f t="shared" si="9"/>
        <v>0</v>
      </c>
    </row>
    <row r="32" spans="1:18" x14ac:dyDescent="0.25">
      <c r="B32" s="22"/>
      <c r="C32" s="1"/>
      <c r="D32" s="22"/>
      <c r="E32" s="1"/>
      <c r="F32" s="22"/>
      <c r="G32" s="22"/>
      <c r="H32" s="22"/>
      <c r="I32" s="1"/>
      <c r="J32" s="22"/>
      <c r="K32" s="1"/>
      <c r="L32" s="22"/>
      <c r="M32" s="22"/>
      <c r="N32" s="1"/>
      <c r="O32" s="22"/>
      <c r="P32" s="1"/>
      <c r="Q32" s="22"/>
      <c r="R32" s="1"/>
    </row>
    <row r="33" spans="1:18" x14ac:dyDescent="0.25">
      <c r="A33" s="296" t="s">
        <v>70</v>
      </c>
      <c r="B33" s="297">
        <f>+B31+B30</f>
        <v>24327.771044738554</v>
      </c>
      <c r="C33" s="298">
        <f t="shared" ref="C33:R33" si="10">+C31+C30</f>
        <v>24643.692863077813</v>
      </c>
      <c r="D33" s="297">
        <f t="shared" si="10"/>
        <v>25900.460811306901</v>
      </c>
      <c r="E33" s="298"/>
      <c r="F33" s="297">
        <f t="shared" si="10"/>
        <v>27894.501060663148</v>
      </c>
      <c r="G33" s="297">
        <f t="shared" si="10"/>
        <v>28748.49145144763</v>
      </c>
      <c r="H33" s="297">
        <f t="shared" si="10"/>
        <v>29614.317529950862</v>
      </c>
      <c r="I33" s="298">
        <f t="shared" si="10"/>
        <v>30742.713788307236</v>
      </c>
      <c r="J33" s="297">
        <f t="shared" si="10"/>
        <v>31303.179123666436</v>
      </c>
      <c r="K33" s="298">
        <f t="shared" si="10"/>
        <v>34124.442900812428</v>
      </c>
      <c r="L33" s="297">
        <f t="shared" si="10"/>
        <v>33422.131400331455</v>
      </c>
      <c r="M33" s="297">
        <f t="shared" si="10"/>
        <v>37601.58586508115</v>
      </c>
      <c r="N33" s="298">
        <f t="shared" si="10"/>
        <v>40892.999575917027</v>
      </c>
      <c r="O33" s="297">
        <f t="shared" si="10"/>
        <v>43022.512927777243</v>
      </c>
      <c r="P33" s="298">
        <f t="shared" si="10"/>
        <v>44903.294750040106</v>
      </c>
      <c r="Q33" s="297">
        <f t="shared" si="10"/>
        <v>50179.462247560572</v>
      </c>
      <c r="R33" s="299">
        <f t="shared" si="10"/>
        <v>50179.462247560572</v>
      </c>
    </row>
    <row r="34" spans="1:18" x14ac:dyDescent="0.25">
      <c r="B34" s="22"/>
      <c r="C34" s="1"/>
      <c r="D34" s="22"/>
      <c r="E34" s="1"/>
      <c r="F34" s="22"/>
      <c r="G34" s="22"/>
      <c r="H34" s="22"/>
      <c r="I34" s="1"/>
      <c r="J34" s="22"/>
      <c r="K34" s="1"/>
      <c r="L34" s="22"/>
      <c r="M34" s="22"/>
      <c r="N34" s="1"/>
      <c r="O34" s="22"/>
      <c r="P34" s="1"/>
      <c r="Q34" s="22"/>
      <c r="R34" s="1"/>
    </row>
    <row r="35" spans="1:18" x14ac:dyDescent="0.25">
      <c r="A35" s="11" t="s">
        <v>20</v>
      </c>
      <c r="B35" s="12">
        <f>+ROUND(B33/$B$6,2)</f>
        <v>15.72</v>
      </c>
      <c r="C35" s="13">
        <f t="shared" ref="C35:R35" si="11">+ROUND(C33/$B$6,2)</f>
        <v>15.92</v>
      </c>
      <c r="D35" s="12">
        <f t="shared" si="11"/>
        <v>16.73</v>
      </c>
      <c r="E35" s="13"/>
      <c r="F35" s="12">
        <f t="shared" si="11"/>
        <v>18.02</v>
      </c>
      <c r="G35" s="12">
        <f t="shared" si="11"/>
        <v>18.57</v>
      </c>
      <c r="H35" s="12">
        <f t="shared" si="11"/>
        <v>19.13</v>
      </c>
      <c r="I35" s="13">
        <f t="shared" si="11"/>
        <v>19.86</v>
      </c>
      <c r="J35" s="12">
        <f t="shared" si="11"/>
        <v>20.22</v>
      </c>
      <c r="K35" s="13">
        <f t="shared" si="11"/>
        <v>22.04</v>
      </c>
      <c r="L35" s="12">
        <f t="shared" si="11"/>
        <v>21.59</v>
      </c>
      <c r="M35" s="12">
        <f t="shared" si="11"/>
        <v>24.29</v>
      </c>
      <c r="N35" s="13">
        <f t="shared" si="11"/>
        <v>26.42</v>
      </c>
      <c r="O35" s="12">
        <f t="shared" si="11"/>
        <v>27.79</v>
      </c>
      <c r="P35" s="13">
        <f t="shared" si="11"/>
        <v>29.01</v>
      </c>
      <c r="Q35" s="12">
        <f t="shared" si="11"/>
        <v>32.42</v>
      </c>
      <c r="R35" s="14">
        <f t="shared" si="11"/>
        <v>32.42</v>
      </c>
    </row>
    <row r="36" spans="1:18" x14ac:dyDescent="0.25">
      <c r="A36" s="11" t="s">
        <v>120</v>
      </c>
      <c r="B36" s="12">
        <f>+B33-B21-B27-B24</f>
        <v>23354.728644738556</v>
      </c>
      <c r="C36" s="13">
        <f t="shared" ref="C36:R36" si="12">+C33-C21-C27-C24</f>
        <v>23660.50071307781</v>
      </c>
      <c r="D36" s="12">
        <f t="shared" si="12"/>
        <v>24876.891961306901</v>
      </c>
      <c r="E36" s="13">
        <f t="shared" si="12"/>
        <v>0</v>
      </c>
      <c r="F36" s="12">
        <f t="shared" si="12"/>
        <v>26806.868860663148</v>
      </c>
      <c r="G36" s="12">
        <f t="shared" si="12"/>
        <v>27633.42275144763</v>
      </c>
      <c r="H36" s="12">
        <f t="shared" si="12"/>
        <v>28471.43207995086</v>
      </c>
      <c r="I36" s="13">
        <f t="shared" si="12"/>
        <v>29563.575888307234</v>
      </c>
      <c r="J36" s="12">
        <f t="shared" si="12"/>
        <v>30106.034923666437</v>
      </c>
      <c r="K36" s="13">
        <f t="shared" si="12"/>
        <v>32836.658800812424</v>
      </c>
      <c r="L36" s="12">
        <f t="shared" si="12"/>
        <v>32156.910750331455</v>
      </c>
      <c r="M36" s="12">
        <f t="shared" si="12"/>
        <v>36202.09016508115</v>
      </c>
      <c r="N36" s="13">
        <f t="shared" si="12"/>
        <v>39387.759275917029</v>
      </c>
      <c r="O36" s="12">
        <f t="shared" si="12"/>
        <v>41448.856877777245</v>
      </c>
      <c r="P36" s="13">
        <f t="shared" si="12"/>
        <v>43269.214050040107</v>
      </c>
      <c r="Q36" s="12">
        <f t="shared" si="12"/>
        <v>48375.871947560576</v>
      </c>
      <c r="R36" s="14">
        <f t="shared" si="12"/>
        <v>48375.871947560576</v>
      </c>
    </row>
    <row r="37" spans="1:18" x14ac:dyDescent="0.25">
      <c r="A37" s="11" t="s">
        <v>121</v>
      </c>
      <c r="B37" s="12">
        <f>+ROUND(B36/$B$6,2)</f>
        <v>15.09</v>
      </c>
      <c r="C37" s="13">
        <f t="shared" ref="C37:R37" si="13">+ROUND(C36/$B$6,2)</f>
        <v>15.28</v>
      </c>
      <c r="D37" s="12">
        <f t="shared" si="13"/>
        <v>16.07</v>
      </c>
      <c r="E37" s="13"/>
      <c r="F37" s="12">
        <f t="shared" si="13"/>
        <v>17.32</v>
      </c>
      <c r="G37" s="12">
        <f t="shared" si="13"/>
        <v>17.850000000000001</v>
      </c>
      <c r="H37" s="12">
        <f t="shared" si="13"/>
        <v>18.39</v>
      </c>
      <c r="I37" s="13">
        <f t="shared" si="13"/>
        <v>19.100000000000001</v>
      </c>
      <c r="J37" s="12">
        <f t="shared" si="13"/>
        <v>19.45</v>
      </c>
      <c r="K37" s="13">
        <f t="shared" si="13"/>
        <v>21.21</v>
      </c>
      <c r="L37" s="12">
        <f t="shared" si="13"/>
        <v>20.77</v>
      </c>
      <c r="M37" s="12">
        <f t="shared" si="13"/>
        <v>23.39</v>
      </c>
      <c r="N37" s="13">
        <f t="shared" si="13"/>
        <v>25.44</v>
      </c>
      <c r="O37" s="12">
        <f t="shared" si="13"/>
        <v>26.78</v>
      </c>
      <c r="P37" s="13">
        <f t="shared" si="13"/>
        <v>27.95</v>
      </c>
      <c r="Q37" s="12">
        <f t="shared" si="13"/>
        <v>31.25</v>
      </c>
      <c r="R37" s="14">
        <f t="shared" si="13"/>
        <v>31.25</v>
      </c>
    </row>
    <row r="38" spans="1:18" x14ac:dyDescent="0.25">
      <c r="A38" s="11" t="s">
        <v>319</v>
      </c>
      <c r="B38" s="12">
        <f>+B37*0.039</f>
        <v>0.58850999999999998</v>
      </c>
      <c r="C38" s="13">
        <f t="shared" ref="C38:R38" si="14">+C37*0.039</f>
        <v>0.59592000000000001</v>
      </c>
      <c r="D38" s="12">
        <f t="shared" si="14"/>
        <v>0.62673000000000001</v>
      </c>
      <c r="E38" s="13"/>
      <c r="F38" s="12">
        <f t="shared" si="14"/>
        <v>0.67547999999999997</v>
      </c>
      <c r="G38" s="12">
        <f t="shared" si="14"/>
        <v>0.69615000000000005</v>
      </c>
      <c r="H38" s="12">
        <f t="shared" si="14"/>
        <v>0.71721000000000001</v>
      </c>
      <c r="I38" s="13">
        <f t="shared" si="14"/>
        <v>0.74490000000000001</v>
      </c>
      <c r="J38" s="12">
        <f t="shared" si="14"/>
        <v>0.75854999999999995</v>
      </c>
      <c r="K38" s="13">
        <f t="shared" si="14"/>
        <v>0.82718999999999998</v>
      </c>
      <c r="L38" s="12">
        <f t="shared" si="14"/>
        <v>0.81003000000000003</v>
      </c>
      <c r="M38" s="12">
        <f t="shared" si="14"/>
        <v>0.91221000000000008</v>
      </c>
      <c r="N38" s="13">
        <f t="shared" si="14"/>
        <v>0.99216000000000004</v>
      </c>
      <c r="O38" s="12">
        <f t="shared" si="14"/>
        <v>1.0444200000000001</v>
      </c>
      <c r="P38" s="13">
        <f t="shared" si="14"/>
        <v>1.09005</v>
      </c>
      <c r="Q38" s="12">
        <f t="shared" si="14"/>
        <v>1.21875</v>
      </c>
      <c r="R38" s="14">
        <f t="shared" si="14"/>
        <v>1.21875</v>
      </c>
    </row>
    <row r="39" spans="1:18" x14ac:dyDescent="0.25">
      <c r="A39" s="11" t="s">
        <v>71</v>
      </c>
      <c r="B39" s="12">
        <f>+ROUND(B37*$B$3,2)</f>
        <v>0</v>
      </c>
      <c r="C39" s="13">
        <f t="shared" ref="C39:R39" si="15">+ROUND(C37*$B$3,2)</f>
        <v>0</v>
      </c>
      <c r="D39" s="12">
        <f t="shared" si="15"/>
        <v>0</v>
      </c>
      <c r="E39" s="13"/>
      <c r="F39" s="12">
        <f t="shared" si="15"/>
        <v>0</v>
      </c>
      <c r="G39" s="12">
        <f t="shared" si="15"/>
        <v>0</v>
      </c>
      <c r="H39" s="12">
        <f t="shared" si="15"/>
        <v>0</v>
      </c>
      <c r="I39" s="13">
        <f t="shared" si="15"/>
        <v>0</v>
      </c>
      <c r="J39" s="12">
        <f t="shared" si="15"/>
        <v>0</v>
      </c>
      <c r="K39" s="13">
        <f t="shared" si="15"/>
        <v>0</v>
      </c>
      <c r="L39" s="12">
        <f t="shared" si="15"/>
        <v>0</v>
      </c>
      <c r="M39" s="12">
        <f t="shared" si="15"/>
        <v>0</v>
      </c>
      <c r="N39" s="13">
        <f t="shared" si="15"/>
        <v>0</v>
      </c>
      <c r="O39" s="12">
        <f t="shared" si="15"/>
        <v>0</v>
      </c>
      <c r="P39" s="13">
        <f t="shared" si="15"/>
        <v>0</v>
      </c>
      <c r="Q39" s="12">
        <f t="shared" si="15"/>
        <v>0</v>
      </c>
      <c r="R39" s="14">
        <f t="shared" si="15"/>
        <v>0</v>
      </c>
    </row>
    <row r="40" spans="1:18" x14ac:dyDescent="0.25">
      <c r="A40" s="31" t="s">
        <v>72</v>
      </c>
      <c r="B40" s="32">
        <f>+B39+B35</f>
        <v>15.72</v>
      </c>
      <c r="C40" s="33">
        <f t="shared" ref="C40:R40" si="16">+C39+C35</f>
        <v>15.92</v>
      </c>
      <c r="D40" s="32">
        <f t="shared" si="16"/>
        <v>16.73</v>
      </c>
      <c r="E40" s="33"/>
      <c r="F40" s="32">
        <f t="shared" si="16"/>
        <v>18.02</v>
      </c>
      <c r="G40" s="32">
        <f t="shared" si="16"/>
        <v>18.57</v>
      </c>
      <c r="H40" s="32">
        <f t="shared" si="16"/>
        <v>19.13</v>
      </c>
      <c r="I40" s="33">
        <f t="shared" si="16"/>
        <v>19.86</v>
      </c>
      <c r="J40" s="32">
        <f t="shared" si="16"/>
        <v>20.22</v>
      </c>
      <c r="K40" s="33">
        <f t="shared" si="16"/>
        <v>22.04</v>
      </c>
      <c r="L40" s="32">
        <f t="shared" si="16"/>
        <v>21.59</v>
      </c>
      <c r="M40" s="32">
        <f t="shared" si="16"/>
        <v>24.29</v>
      </c>
      <c r="N40" s="33">
        <f t="shared" si="16"/>
        <v>26.42</v>
      </c>
      <c r="O40" s="32">
        <f t="shared" si="16"/>
        <v>27.79</v>
      </c>
      <c r="P40" s="33">
        <f t="shared" si="16"/>
        <v>29.01</v>
      </c>
      <c r="Q40" s="32">
        <f t="shared" si="16"/>
        <v>32.42</v>
      </c>
      <c r="R40" s="33">
        <f t="shared" si="16"/>
        <v>32.42</v>
      </c>
    </row>
    <row r="41" spans="1:18" x14ac:dyDescent="0.25">
      <c r="C41" s="1"/>
      <c r="D41" s="1"/>
      <c r="E41" s="1"/>
      <c r="F41" s="1"/>
      <c r="G41" s="1"/>
      <c r="H41" s="1"/>
      <c r="I41" s="1"/>
      <c r="J41" s="1"/>
      <c r="K41" s="1"/>
      <c r="L41" s="1"/>
      <c r="M41" s="1"/>
      <c r="N41" s="1"/>
      <c r="O41" s="1"/>
      <c r="P41" s="1"/>
      <c r="Q41" s="1"/>
      <c r="R41" s="1"/>
    </row>
    <row r="42" spans="1:18" x14ac:dyDescent="0.25">
      <c r="C42" s="1"/>
      <c r="D42" s="1"/>
      <c r="E42" s="1"/>
      <c r="F42" s="1"/>
      <c r="G42" s="1"/>
      <c r="H42" s="1"/>
      <c r="I42" s="1"/>
      <c r="J42" s="1"/>
      <c r="K42" s="1"/>
      <c r="L42" s="1"/>
      <c r="M42" s="1"/>
      <c r="N42" s="1"/>
      <c r="O42" s="1"/>
      <c r="P42" s="1"/>
      <c r="Q42" s="1"/>
      <c r="R42" s="1"/>
    </row>
    <row r="43" spans="1:18" s="1" customFormat="1" x14ac:dyDescent="0.25"/>
    <row r="44" spans="1:18" x14ac:dyDescent="0.25">
      <c r="C44" s="1"/>
      <c r="D44" s="1"/>
      <c r="E44" s="1"/>
      <c r="F44" s="1"/>
      <c r="G44" s="1"/>
      <c r="H44" s="1"/>
      <c r="I44" s="1"/>
      <c r="J44" s="1"/>
      <c r="K44" s="1"/>
      <c r="L44" s="1"/>
      <c r="M44" s="1"/>
      <c r="N44" s="1"/>
      <c r="O44" s="1"/>
      <c r="P44" s="1"/>
      <c r="Q44" s="1"/>
      <c r="R44" s="1"/>
    </row>
    <row r="45" spans="1:18" s="89" customFormat="1" x14ac:dyDescent="0.25">
      <c r="B45" s="91" t="s">
        <v>73</v>
      </c>
    </row>
    <row r="46" spans="1:18" s="89" customFormat="1" x14ac:dyDescent="0.25">
      <c r="B46" s="91" t="s">
        <v>73</v>
      </c>
    </row>
    <row r="47" spans="1:18" s="89" customFormat="1" x14ac:dyDescent="0.25">
      <c r="B47" s="91"/>
    </row>
    <row r="48" spans="1:18" s="89" customFormat="1" x14ac:dyDescent="0.25">
      <c r="B48" s="91" t="s">
        <v>74</v>
      </c>
      <c r="C48" s="90">
        <f>4.97%</f>
        <v>4.9699999999999994E-2</v>
      </c>
    </row>
    <row r="49" spans="1:18" s="89" customFormat="1" x14ac:dyDescent="0.25">
      <c r="B49" s="91" t="s">
        <v>75</v>
      </c>
      <c r="C49" s="90">
        <f>4.4%</f>
        <v>4.4000000000000004E-2</v>
      </c>
    </row>
    <row r="50" spans="1:18" s="89" customFormat="1" x14ac:dyDescent="0.25">
      <c r="B50" s="91" t="s">
        <v>49</v>
      </c>
      <c r="C50" s="92">
        <v>0</v>
      </c>
    </row>
    <row r="51" spans="1:18" s="89" customFormat="1" x14ac:dyDescent="0.25">
      <c r="B51" s="91" t="s">
        <v>76</v>
      </c>
      <c r="C51" s="92">
        <v>0</v>
      </c>
    </row>
    <row r="52" spans="1:18" s="89" customFormat="1" x14ac:dyDescent="0.25">
      <c r="B52" s="91"/>
    </row>
    <row r="53" spans="1:18" s="89" customFormat="1" x14ac:dyDescent="0.25">
      <c r="B53" s="91" t="s">
        <v>52</v>
      </c>
    </row>
    <row r="54" spans="1:18" s="89" customFormat="1" x14ac:dyDescent="0.25">
      <c r="B54" s="91" t="s">
        <v>77</v>
      </c>
    </row>
    <row r="55" spans="1:18" s="89" customFormat="1" x14ac:dyDescent="0.25">
      <c r="B55" s="91"/>
    </row>
    <row r="56" spans="1:18" s="89" customFormat="1" x14ac:dyDescent="0.25">
      <c r="A56" s="89" t="s">
        <v>78</v>
      </c>
      <c r="B56" s="288">
        <v>2785.08</v>
      </c>
      <c r="C56" s="289">
        <v>2821.65</v>
      </c>
      <c r="D56" s="288">
        <v>2967.11</v>
      </c>
      <c r="E56" s="289"/>
      <c r="F56" s="288">
        <v>3197.92</v>
      </c>
      <c r="G56" s="288">
        <v>3296.77</v>
      </c>
      <c r="H56" s="288">
        <v>3396.98</v>
      </c>
      <c r="I56" s="289">
        <v>3527.59</v>
      </c>
      <c r="J56" s="288">
        <v>3592.46</v>
      </c>
      <c r="K56" s="289">
        <v>3919.01</v>
      </c>
      <c r="L56" s="288">
        <v>3837.72</v>
      </c>
      <c r="M56" s="288">
        <v>4321.4799999999996</v>
      </c>
      <c r="N56" s="289">
        <v>4702.45</v>
      </c>
      <c r="O56" s="288">
        <v>4948.9399999999996</v>
      </c>
      <c r="P56" s="289">
        <v>5166.63</v>
      </c>
      <c r="Q56" s="288">
        <v>5777.33</v>
      </c>
      <c r="R56" s="290">
        <v>5777.33</v>
      </c>
    </row>
    <row r="58" spans="1:18" x14ac:dyDescent="0.25">
      <c r="B58" s="287"/>
      <c r="C58" s="287"/>
      <c r="D58" s="287"/>
      <c r="F58" s="287"/>
      <c r="G58" s="287"/>
    </row>
    <row r="59" spans="1:18" x14ac:dyDescent="0.25">
      <c r="B59" s="34"/>
      <c r="C59" s="34"/>
    </row>
    <row r="60" spans="1:18" x14ac:dyDescent="0.25">
      <c r="C60" s="1"/>
      <c r="D60" s="1"/>
      <c r="F60" s="1"/>
      <c r="G60" s="1"/>
    </row>
    <row r="61" spans="1:18" x14ac:dyDescent="0.25">
      <c r="B61" s="34"/>
      <c r="C61" s="34"/>
      <c r="D61" s="34"/>
      <c r="E61" s="1"/>
      <c r="F61" s="34"/>
      <c r="G61" s="34"/>
      <c r="H61" s="1"/>
      <c r="I61" s="1"/>
      <c r="J61" s="1"/>
      <c r="K61" s="1"/>
      <c r="L61" s="1"/>
      <c r="M61" s="1"/>
      <c r="N61" s="1"/>
      <c r="O61" s="1"/>
      <c r="P61" s="1"/>
      <c r="Q61" s="1"/>
      <c r="R61" s="1"/>
    </row>
    <row r="62" spans="1:18" x14ac:dyDescent="0.25">
      <c r="B62" s="34"/>
      <c r="C62" s="34"/>
    </row>
    <row r="64" spans="1:18" x14ac:dyDescent="0.25">
      <c r="B64" s="300"/>
      <c r="C64" s="300"/>
      <c r="D64" s="300"/>
      <c r="E64" s="300"/>
      <c r="F64" s="300"/>
      <c r="G64" s="300"/>
      <c r="H64" s="300"/>
      <c r="I64" s="300"/>
      <c r="J64" s="300"/>
      <c r="K64" s="300"/>
      <c r="L64" s="300"/>
      <c r="M64" s="300"/>
      <c r="N64" s="300"/>
      <c r="O64" s="300"/>
      <c r="P64" s="300"/>
      <c r="Q64" s="300"/>
      <c r="R64" s="300"/>
    </row>
    <row r="65" spans="2:18" x14ac:dyDescent="0.25">
      <c r="C65" s="1"/>
      <c r="D65" s="1"/>
      <c r="E65" s="1"/>
      <c r="F65" s="1"/>
      <c r="G65" s="1"/>
      <c r="H65" s="1"/>
      <c r="I65" s="1"/>
      <c r="J65" s="1"/>
      <c r="K65" s="1"/>
      <c r="L65" s="1"/>
      <c r="M65" s="1"/>
      <c r="N65" s="1"/>
      <c r="O65" s="1"/>
      <c r="P65" s="1"/>
      <c r="Q65" s="1"/>
      <c r="R65" s="1"/>
    </row>
    <row r="66" spans="2:18" x14ac:dyDescent="0.25">
      <c r="C66" s="1"/>
      <c r="D66" s="1"/>
      <c r="E66" s="1"/>
      <c r="F66" s="1"/>
      <c r="G66" s="1"/>
      <c r="H66" s="1"/>
      <c r="I66" s="1"/>
      <c r="J66" s="1"/>
      <c r="K66" s="1"/>
      <c r="L66" s="1"/>
      <c r="M66" s="1"/>
      <c r="N66" s="1"/>
      <c r="O66" s="1"/>
      <c r="P66" s="1"/>
      <c r="Q66" s="1"/>
      <c r="R66" s="1"/>
    </row>
    <row r="67" spans="2:18" x14ac:dyDescent="0.25">
      <c r="B67" s="34"/>
      <c r="C67" s="34"/>
      <c r="D67" s="34"/>
      <c r="E67" s="34"/>
      <c r="F67" s="34"/>
      <c r="G67" s="34"/>
      <c r="H67" s="34"/>
      <c r="I67" s="34"/>
      <c r="J67" s="34"/>
      <c r="K67" s="34"/>
      <c r="L67" s="34"/>
      <c r="M67" s="34"/>
      <c r="N67" s="34"/>
      <c r="O67" s="34"/>
      <c r="P67" s="34"/>
      <c r="Q67" s="34"/>
      <c r="R67" s="34"/>
    </row>
  </sheetData>
  <conditionalFormatting sqref="B2">
    <cfRule type="expression" dxfId="0" priority="1">
      <formula>B1="Generale"</formula>
    </cfRule>
  </conditionalFormatting>
  <dataValidations count="2">
    <dataValidation type="list" allowBlank="1" showInputMessage="1" showErrorMessage="1" sqref="B1" xr:uid="{00000000-0002-0000-0900-000000000000}">
      <formula1>$B$45:$B$46</formula1>
    </dataValidation>
    <dataValidation type="list" allowBlank="1" showInputMessage="1" showErrorMessage="1" sqref="B5" xr:uid="{00000000-0002-0000-0900-000001000000}">
      <formula1>$B$53:$B$54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10</vt:i4>
      </vt:variant>
      <vt:variant>
        <vt:lpstr>Intervalli denominati</vt:lpstr>
      </vt:variant>
      <vt:variant>
        <vt:i4>8</vt:i4>
      </vt:variant>
    </vt:vector>
  </HeadingPairs>
  <TitlesOfParts>
    <vt:vector size="18" baseType="lpstr">
      <vt:lpstr>INPUT</vt:lpstr>
      <vt:lpstr>SCHEDA DI INTERVENTO</vt:lpstr>
      <vt:lpstr>esprortazione</vt:lpstr>
      <vt:lpstr>CCNL-appoggio</vt:lpstr>
      <vt:lpstr>CCNL cooperative</vt:lpstr>
      <vt:lpstr>CCNL EELL</vt:lpstr>
      <vt:lpstr>CCNL EELL 2018</vt:lpstr>
      <vt:lpstr>CCNL cooperative (11-19)</vt:lpstr>
      <vt:lpstr>CCNL cooperative (4-20)</vt:lpstr>
      <vt:lpstr>CCNL cooperative (9-20)</vt:lpstr>
      <vt:lpstr>esprortazione!Area_stampa</vt:lpstr>
      <vt:lpstr>INPUT!Area_stampa</vt:lpstr>
      <vt:lpstr>CCNLCoopCost</vt:lpstr>
      <vt:lpstr>CCNLCoopDes</vt:lpstr>
      <vt:lpstr>CCNLEELLCostOrd</vt:lpstr>
      <vt:lpstr>CCNLEELLCostStraord</vt:lpstr>
      <vt:lpstr>CCNLEELLDes</vt:lpstr>
      <vt:lpstr>oreServizioPacDettaglio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2023-06-13T11:32:48Z</dcterms:modified>
</cp:coreProperties>
</file>